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6"/>
  </bookViews>
  <sheets>
    <sheet name="Electrical cond" sheetId="1" r:id="rId1"/>
    <sheet name="Therm cond" sheetId="2" r:id="rId2"/>
    <sheet name="Viscosity" sheetId="3" r:id="rId3"/>
    <sheet name="Surf tens" sheetId="4" r:id="rId4"/>
    <sheet name="Density" sheetId="5" r:id="rId5"/>
    <sheet name="Cp,enthalpy" sheetId="6" r:id="rId6"/>
    <sheet name="Collected" sheetId="7" r:id="rId7"/>
    <sheet name="Comp'n" sheetId="8" r:id="rId8"/>
  </sheets>
  <definedNames/>
  <calcPr fullCalcOnLoad="1"/>
</workbook>
</file>

<file path=xl/sharedStrings.xml><?xml version="1.0" encoding="utf-8"?>
<sst xmlns="http://schemas.openxmlformats.org/spreadsheetml/2006/main" count="540" uniqueCount="305">
  <si>
    <t>%SiO2</t>
  </si>
  <si>
    <t>%CaO</t>
  </si>
  <si>
    <t>%Al2O3</t>
  </si>
  <si>
    <t>%MgO</t>
  </si>
  <si>
    <t>%Na2O</t>
  </si>
  <si>
    <t>%K2O</t>
  </si>
  <si>
    <t>%FeO</t>
  </si>
  <si>
    <t>%MnO</t>
  </si>
  <si>
    <t>%Li2O</t>
  </si>
  <si>
    <t>%ZrO2</t>
  </si>
  <si>
    <t>%TiO2</t>
  </si>
  <si>
    <t>%B2O3</t>
  </si>
  <si>
    <t>Pick- up</t>
  </si>
  <si>
    <t>%</t>
  </si>
  <si>
    <r>
      <t>X</t>
    </r>
    <r>
      <rPr>
        <vertAlign val="subscript"/>
        <sz val="12"/>
        <rFont val="Times New Roman"/>
        <family val="1"/>
      </rPr>
      <t>NB</t>
    </r>
    <r>
      <rPr>
        <sz val="12"/>
        <rFont val="Times New Roman"/>
        <family val="1"/>
      </rPr>
      <t>= X</t>
    </r>
    <r>
      <rPr>
        <vertAlign val="subscript"/>
        <sz val="12"/>
        <rFont val="Times New Roman"/>
        <family val="1"/>
      </rPr>
      <t>C</t>
    </r>
    <r>
      <rPr>
        <sz val="12"/>
        <rFont val="Times New Roman"/>
        <family val="1"/>
      </rPr>
      <t xml:space="preserve"> +X</t>
    </r>
    <r>
      <rPr>
        <vertAlign val="subscript"/>
        <sz val="12"/>
        <rFont val="Times New Roman"/>
        <family val="1"/>
      </rPr>
      <t>M</t>
    </r>
    <r>
      <rPr>
        <sz val="12"/>
        <rFont val="Times New Roman"/>
        <family val="1"/>
      </rPr>
      <t xml:space="preserve"> + X</t>
    </r>
    <r>
      <rPr>
        <vertAlign val="subscript"/>
        <sz val="12"/>
        <rFont val="Times New Roman"/>
        <family val="1"/>
      </rPr>
      <t>Fe</t>
    </r>
    <r>
      <rPr>
        <sz val="12"/>
        <rFont val="Times New Roman"/>
        <family val="1"/>
      </rPr>
      <t xml:space="preserve"> +X</t>
    </r>
    <r>
      <rPr>
        <vertAlign val="subscript"/>
        <sz val="12"/>
        <rFont val="Times New Roman"/>
        <family val="1"/>
      </rPr>
      <t>Mn</t>
    </r>
    <r>
      <rPr>
        <sz val="12"/>
        <rFont val="Times New Roman"/>
        <family val="1"/>
      </rPr>
      <t xml:space="preserve"> + X</t>
    </r>
    <r>
      <rPr>
        <vertAlign val="subscript"/>
        <sz val="12"/>
        <rFont val="Times New Roman"/>
        <family val="1"/>
      </rPr>
      <t>B</t>
    </r>
    <r>
      <rPr>
        <sz val="12"/>
        <rFont val="Times New Roman"/>
        <family val="1"/>
      </rPr>
      <t>.</t>
    </r>
  </si>
  <si>
    <r>
      <t>X</t>
    </r>
    <r>
      <rPr>
        <vertAlign val="subscript"/>
        <sz val="12"/>
        <rFont val="Times New Roman"/>
        <family val="1"/>
      </rPr>
      <t>alk</t>
    </r>
    <r>
      <rPr>
        <sz val="12"/>
        <rFont val="Times New Roman"/>
        <family val="1"/>
      </rPr>
      <t>= X</t>
    </r>
    <r>
      <rPr>
        <vertAlign val="subscript"/>
        <sz val="12"/>
        <rFont val="Times New Roman"/>
        <family val="1"/>
      </rPr>
      <t>N</t>
    </r>
    <r>
      <rPr>
        <sz val="12"/>
        <rFont val="Times New Roman"/>
        <family val="1"/>
      </rPr>
      <t>+ X</t>
    </r>
    <r>
      <rPr>
        <vertAlign val="subscript"/>
        <sz val="12"/>
        <rFont val="Times New Roman"/>
        <family val="1"/>
      </rPr>
      <t>K</t>
    </r>
    <r>
      <rPr>
        <sz val="12"/>
        <rFont val="Times New Roman"/>
        <family val="1"/>
      </rPr>
      <t>+ X</t>
    </r>
    <r>
      <rPr>
        <vertAlign val="subscript"/>
        <sz val="12"/>
        <rFont val="Times New Roman"/>
        <family val="1"/>
      </rPr>
      <t>L</t>
    </r>
  </si>
  <si>
    <r>
      <t>A* = exp (-19.81 +1.73X</t>
    </r>
    <r>
      <rPr>
        <vertAlign val="subscript"/>
        <sz val="12"/>
        <rFont val="Times New Roman"/>
        <family val="1"/>
      </rPr>
      <t>C</t>
    </r>
    <r>
      <rPr>
        <sz val="12"/>
        <rFont val="Times New Roman"/>
        <family val="1"/>
      </rPr>
      <t>+5.82X</t>
    </r>
    <r>
      <rPr>
        <vertAlign val="subscript"/>
        <sz val="12"/>
        <rFont val="Times New Roman"/>
        <family val="1"/>
      </rPr>
      <t>CaF2</t>
    </r>
    <r>
      <rPr>
        <sz val="12"/>
        <rFont val="Times New Roman"/>
        <family val="1"/>
      </rPr>
      <t xml:space="preserve"> +7.02 X</t>
    </r>
    <r>
      <rPr>
        <vertAlign val="subscript"/>
        <sz val="12"/>
        <rFont val="Times New Roman"/>
        <family val="1"/>
      </rPr>
      <t>alk</t>
    </r>
    <r>
      <rPr>
        <sz val="12"/>
        <rFont val="Times New Roman"/>
        <family val="1"/>
      </rPr>
      <t>-33.76X</t>
    </r>
    <r>
      <rPr>
        <vertAlign val="subscript"/>
        <sz val="12"/>
        <rFont val="Times New Roman"/>
        <family val="1"/>
      </rPr>
      <t>A</t>
    </r>
    <r>
      <rPr>
        <sz val="12"/>
        <rFont val="Times New Roman"/>
        <family val="1"/>
      </rPr>
      <t>)</t>
    </r>
  </si>
  <si>
    <r>
      <t>B* =31140 -23896 X</t>
    </r>
    <r>
      <rPr>
        <vertAlign val="subscript"/>
        <sz val="12"/>
        <rFont val="Times New Roman"/>
        <family val="1"/>
      </rPr>
      <t>C</t>
    </r>
    <r>
      <rPr>
        <sz val="12"/>
        <rFont val="Times New Roman"/>
        <family val="1"/>
      </rPr>
      <t>- 46356X</t>
    </r>
    <r>
      <rPr>
        <vertAlign val="subscript"/>
        <sz val="12"/>
        <rFont val="Times New Roman"/>
        <family val="1"/>
      </rPr>
      <t>CaF2</t>
    </r>
    <r>
      <rPr>
        <sz val="12"/>
        <rFont val="Times New Roman"/>
        <family val="1"/>
      </rPr>
      <t>-39159X</t>
    </r>
    <r>
      <rPr>
        <vertAlign val="subscript"/>
        <sz val="12"/>
        <rFont val="Times New Roman"/>
        <family val="1"/>
      </rPr>
      <t>alk</t>
    </r>
    <r>
      <rPr>
        <sz val="12"/>
        <rFont val="Times New Roman"/>
        <family val="1"/>
      </rPr>
      <t xml:space="preserve"> +  68833X</t>
    </r>
    <r>
      <rPr>
        <vertAlign val="subscript"/>
        <sz val="12"/>
        <rFont val="Times New Roman"/>
        <family val="1"/>
      </rPr>
      <t>A</t>
    </r>
  </si>
  <si>
    <t>μ= A*T exp (B*/T)</t>
  </si>
  <si>
    <t>XNB</t>
  </si>
  <si>
    <t>Xalk</t>
  </si>
  <si>
    <t>A*</t>
  </si>
  <si>
    <t>B*</t>
  </si>
  <si>
    <t>NBO/T</t>
  </si>
  <si>
    <t>XT</t>
  </si>
  <si>
    <t>NBO/T cry</t>
  </si>
  <si>
    <t>Flux</t>
  </si>
  <si>
    <t>Revised</t>
  </si>
  <si>
    <t>slag-comp</t>
  </si>
  <si>
    <t>CaF2</t>
  </si>
  <si>
    <t>Moles</t>
  </si>
  <si>
    <t>Mol fraction</t>
  </si>
  <si>
    <t>Xnb</t>
  </si>
  <si>
    <t>XCaf2</t>
  </si>
  <si>
    <t>XA</t>
  </si>
  <si>
    <t>VISCOSITY _RIBOUD MODEL</t>
  </si>
  <si>
    <t>Xs</t>
  </si>
  <si>
    <t>Viscosity</t>
  </si>
  <si>
    <t>T, K</t>
  </si>
  <si>
    <t>expB*</t>
  </si>
  <si>
    <t>Pas</t>
  </si>
  <si>
    <t>Tliq</t>
  </si>
  <si>
    <t>XNB 1</t>
  </si>
  <si>
    <t>DENSITY OF LIQUID SLAG</t>
  </si>
  <si>
    <t>b) Vs= 19.55 +7.966Xs.</t>
  </si>
  <si>
    <r>
      <t>c) V</t>
    </r>
    <r>
      <rPr>
        <vertAlign val="subscript"/>
        <sz val="12"/>
        <rFont val="Times New Roman"/>
        <family val="1"/>
      </rPr>
      <t>A</t>
    </r>
    <r>
      <rPr>
        <sz val="12"/>
        <rFont val="Times New Roman"/>
        <family val="1"/>
      </rPr>
      <t>=  28.31 + 32X</t>
    </r>
    <r>
      <rPr>
        <vertAlign val="subscript"/>
        <sz val="12"/>
        <rFont val="Times New Roman"/>
        <family val="1"/>
      </rPr>
      <t>A</t>
    </r>
    <r>
      <rPr>
        <sz val="12"/>
        <rFont val="Times New Roman"/>
        <family val="1"/>
      </rPr>
      <t xml:space="preserve"> +31.45 (X</t>
    </r>
    <r>
      <rPr>
        <vertAlign val="subscript"/>
        <sz val="12"/>
        <rFont val="Times New Roman"/>
        <family val="1"/>
      </rPr>
      <t>A</t>
    </r>
    <r>
      <rPr>
        <sz val="12"/>
        <rFont val="Times New Roman"/>
        <family val="1"/>
      </rPr>
      <t>)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.</t>
    </r>
  </si>
  <si>
    <r>
      <t>V</t>
    </r>
    <r>
      <rPr>
        <vertAlign val="subscript"/>
        <sz val="12"/>
        <rFont val="Times New Roman"/>
        <family val="1"/>
      </rPr>
      <t>1773</t>
    </r>
    <r>
      <rPr>
        <sz val="12"/>
        <rFont val="Times New Roman"/>
        <family val="1"/>
      </rPr>
      <t>= V* + Vs +V</t>
    </r>
    <r>
      <rPr>
        <vertAlign val="subscript"/>
        <sz val="12"/>
        <rFont val="Times New Roman"/>
        <family val="1"/>
      </rPr>
      <t>A</t>
    </r>
    <r>
      <rPr>
        <sz val="12"/>
        <rFont val="Times New Roman"/>
        <family val="1"/>
      </rPr>
      <t>.</t>
    </r>
  </si>
  <si>
    <t>V*</t>
  </si>
  <si>
    <t>Vs</t>
  </si>
  <si>
    <t>VA</t>
  </si>
  <si>
    <t>V1773</t>
  </si>
  <si>
    <t>M</t>
  </si>
  <si>
    <t>VT</t>
  </si>
  <si>
    <t>M/VT</t>
  </si>
  <si>
    <t>Dens-slag</t>
  </si>
  <si>
    <t>T,K</t>
  </si>
  <si>
    <t>CALCULATION OF Cp and ENTHALPY</t>
  </si>
  <si>
    <t>a</t>
  </si>
  <si>
    <t>b</t>
  </si>
  <si>
    <t>c</t>
  </si>
  <si>
    <t>Cp(l)</t>
  </si>
  <si>
    <t>deltaSfus</t>
  </si>
  <si>
    <t>HT-H298</t>
  </si>
  <si>
    <t>kJkg-1K-1</t>
  </si>
  <si>
    <t>liquid</t>
  </si>
  <si>
    <t>solid</t>
  </si>
  <si>
    <t>DENSITY OF SOLID SLAG</t>
  </si>
  <si>
    <r>
      <t>V*= 14.4Xc + 12.5X</t>
    </r>
    <r>
      <rPr>
        <vertAlign val="subscript"/>
        <sz val="12"/>
        <rFont val="Times New Roman"/>
        <family val="1"/>
      </rPr>
      <t xml:space="preserve">M </t>
    </r>
    <r>
      <rPr>
        <sz val="12"/>
        <rFont val="Times New Roman"/>
        <family val="1"/>
      </rPr>
      <t>+ 20.2X</t>
    </r>
    <r>
      <rPr>
        <vertAlign val="subscript"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+33.5X</t>
    </r>
    <r>
      <rPr>
        <vertAlign val="subscript"/>
        <sz val="12"/>
        <rFont val="Times New Roman"/>
        <family val="1"/>
      </rPr>
      <t>K</t>
    </r>
    <r>
      <rPr>
        <sz val="12"/>
        <rFont val="Times New Roman"/>
        <family val="1"/>
      </rPr>
      <t xml:space="preserve"> +11X</t>
    </r>
    <r>
      <rPr>
        <vertAlign val="subscript"/>
        <sz val="12"/>
        <rFont val="Times New Roman"/>
        <family val="1"/>
      </rPr>
      <t>L</t>
    </r>
    <r>
      <rPr>
        <sz val="12"/>
        <rFont val="Times New Roman"/>
        <family val="1"/>
      </rPr>
      <t xml:space="preserve"> + 40X</t>
    </r>
    <r>
      <rPr>
        <vertAlign val="subscript"/>
        <sz val="12"/>
        <rFont val="Times New Roman"/>
        <family val="1"/>
      </rPr>
      <t>B</t>
    </r>
    <r>
      <rPr>
        <sz val="12"/>
        <rFont val="Times New Roman"/>
        <family val="1"/>
      </rPr>
      <t xml:space="preserve"> +16.5X</t>
    </r>
    <r>
      <rPr>
        <vertAlign val="subscript"/>
        <sz val="12"/>
        <rFont val="Times New Roman"/>
        <family val="1"/>
      </rPr>
      <t>Fe</t>
    </r>
    <r>
      <rPr>
        <sz val="12"/>
        <rFont val="Times New Roman"/>
        <family val="1"/>
      </rPr>
      <t xml:space="preserve"> +17X</t>
    </r>
    <r>
      <rPr>
        <vertAlign val="subscript"/>
        <sz val="12"/>
        <rFont val="Times New Roman"/>
        <family val="1"/>
      </rPr>
      <t>Mn</t>
    </r>
    <r>
      <rPr>
        <sz val="12"/>
        <rFont val="Times New Roman"/>
        <family val="1"/>
      </rPr>
      <t xml:space="preserve"> +28.5 X</t>
    </r>
    <r>
      <rPr>
        <vertAlign val="subscript"/>
        <sz val="12"/>
        <rFont val="Times New Roman"/>
        <family val="1"/>
      </rPr>
      <t>CaF2</t>
    </r>
  </si>
  <si>
    <r>
      <t>b) Vs</t>
    </r>
    <r>
      <rPr>
        <b/>
        <sz val="12"/>
        <color indexed="10"/>
        <rFont val="Times New Roman"/>
        <family val="1"/>
      </rPr>
      <t xml:space="preserve">= </t>
    </r>
    <r>
      <rPr>
        <sz val="12"/>
        <rFont val="Times New Roman"/>
        <family val="1"/>
      </rPr>
      <t>23.76+3.5Xs.</t>
    </r>
  </si>
  <si>
    <r>
      <t>c) V</t>
    </r>
    <r>
      <rPr>
        <vertAlign val="subscript"/>
        <sz val="12"/>
        <rFont val="Times New Roman"/>
        <family val="1"/>
      </rPr>
      <t>A</t>
    </r>
    <r>
      <rPr>
        <sz val="12"/>
        <rFont val="Times New Roman"/>
        <family val="1"/>
      </rPr>
      <t>=  40.4</t>
    </r>
  </si>
  <si>
    <t>V298</t>
  </si>
  <si>
    <t>Dens</t>
  </si>
  <si>
    <t>THERMAL CONDUCTIVITY OF LIQUID SLAG</t>
  </si>
  <si>
    <t>Method 1</t>
  </si>
  <si>
    <t>Cp</t>
  </si>
  <si>
    <t>Method 2</t>
  </si>
  <si>
    <t xml:space="preserve">THERMAL CONDUCTIVITY OF SOLID SLAG </t>
  </si>
  <si>
    <t>a(glass)</t>
  </si>
  <si>
    <t>a(crys)</t>
  </si>
  <si>
    <t>a(slagfilm)</t>
  </si>
  <si>
    <r>
      <t>A= 0.2+ 2.35 Λ</t>
    </r>
    <r>
      <rPr>
        <vertAlign val="subscript"/>
        <sz val="12"/>
        <rFont val="Times New Roman"/>
        <family val="1"/>
      </rPr>
      <t>corr</t>
    </r>
    <r>
      <rPr>
        <sz val="12"/>
        <rFont val="Times New Roman"/>
        <family val="1"/>
      </rPr>
      <t>.</t>
    </r>
  </si>
  <si>
    <r>
      <t>B= 10169-10530 Λ</t>
    </r>
    <r>
      <rPr>
        <vertAlign val="subscript"/>
        <sz val="12"/>
        <rFont val="Times New Roman"/>
        <family val="1"/>
      </rPr>
      <t>corr</t>
    </r>
    <r>
      <rPr>
        <sz val="12"/>
        <rFont val="Times New Roman"/>
        <family val="1"/>
      </rPr>
      <t>.</t>
    </r>
  </si>
  <si>
    <r>
      <t>To= 758.1-368.9 Λ</t>
    </r>
    <r>
      <rPr>
        <vertAlign val="subscript"/>
        <sz val="12"/>
        <rFont val="Times New Roman"/>
        <family val="1"/>
      </rPr>
      <t>corr</t>
    </r>
    <r>
      <rPr>
        <sz val="12"/>
        <rFont val="Times New Roman"/>
        <family val="1"/>
      </rPr>
      <t>.</t>
    </r>
  </si>
  <si>
    <t>μ(dPas)= Aexp {B/ (T- To) }</t>
  </si>
  <si>
    <t>A</t>
  </si>
  <si>
    <t>B</t>
  </si>
  <si>
    <t>To</t>
  </si>
  <si>
    <t>deltaHfus</t>
  </si>
  <si>
    <t>kJ</t>
  </si>
  <si>
    <t>dPas</t>
  </si>
  <si>
    <t xml:space="preserve">Viscosity </t>
  </si>
  <si>
    <t>Density</t>
  </si>
  <si>
    <t>k(slag film)</t>
  </si>
  <si>
    <t>V*=20.7*Xc+16.1*XM+ 33XN+51.8XK +?XL 15.8XF+15.6XMn +?XB+65.7XP+24XT</t>
  </si>
  <si>
    <t>VS=19.55+7.966XSiO2</t>
  </si>
  <si>
    <t>VA= 28.31+32XAl2O3-31.45X^2</t>
  </si>
  <si>
    <t>T/K</t>
  </si>
  <si>
    <t>Dens1773</t>
  </si>
  <si>
    <t>Tliq, K</t>
  </si>
  <si>
    <t>% Cr2O3</t>
  </si>
  <si>
    <t>% CrO</t>
  </si>
  <si>
    <t>%NiO</t>
  </si>
  <si>
    <t>SUM</t>
  </si>
  <si>
    <t>Mol Wt</t>
  </si>
  <si>
    <t>Q</t>
  </si>
  <si>
    <t>Extrapolation</t>
  </si>
  <si>
    <t>Glassy</t>
  </si>
  <si>
    <t xml:space="preserve">Phase </t>
  </si>
  <si>
    <t>% Fe2O3</t>
  </si>
  <si>
    <t>DATABASE</t>
  </si>
  <si>
    <t>JK-1mol-1</t>
  </si>
  <si>
    <t>(HT-H298)</t>
  </si>
  <si>
    <t>kJ kg-1</t>
  </si>
  <si>
    <t>kJmol-1</t>
  </si>
  <si>
    <t>xCp(l)</t>
  </si>
  <si>
    <t>%Fe2O3</t>
  </si>
  <si>
    <t>J/Kmol</t>
  </si>
  <si>
    <t>xdeltaS</t>
  </si>
  <si>
    <t>%F</t>
  </si>
  <si>
    <t>J/Kkg</t>
  </si>
  <si>
    <t>GLASSY SLAGS</t>
  </si>
  <si>
    <t>CRYSTALLINE SLAGS</t>
  </si>
  <si>
    <t>,jkg-1K-1</t>
  </si>
  <si>
    <t>1000/M</t>
  </si>
  <si>
    <t>JK-1kg-1</t>
  </si>
  <si>
    <t>b'=</t>
  </si>
  <si>
    <t>KCM</t>
  </si>
  <si>
    <r>
      <t>V*= 20.7 Xc + 16.1X</t>
    </r>
    <r>
      <rPr>
        <vertAlign val="subscript"/>
        <sz val="12"/>
        <rFont val="Times New Roman"/>
        <family val="1"/>
      </rPr>
      <t xml:space="preserve">M </t>
    </r>
    <r>
      <rPr>
        <sz val="12"/>
        <rFont val="Times New Roman"/>
        <family val="1"/>
      </rPr>
      <t>+ 33X</t>
    </r>
    <r>
      <rPr>
        <vertAlign val="subscript"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+51.8X</t>
    </r>
    <r>
      <rPr>
        <vertAlign val="subscript"/>
        <sz val="12"/>
        <rFont val="Times New Roman"/>
        <family val="1"/>
      </rPr>
      <t>K</t>
    </r>
    <r>
      <rPr>
        <sz val="12"/>
        <rFont val="Times New Roman"/>
        <family val="1"/>
      </rPr>
      <t xml:space="preserve"> +13.3X</t>
    </r>
    <r>
      <rPr>
        <vertAlign val="subscript"/>
        <sz val="12"/>
        <rFont val="Times New Roman"/>
        <family val="1"/>
      </rPr>
      <t>L</t>
    </r>
    <r>
      <rPr>
        <sz val="12"/>
        <rFont val="Times New Roman"/>
        <family val="1"/>
      </rPr>
      <t xml:space="preserve"> + 45X</t>
    </r>
    <r>
      <rPr>
        <vertAlign val="subscript"/>
        <sz val="12"/>
        <rFont val="Times New Roman"/>
        <family val="1"/>
      </rPr>
      <t>B</t>
    </r>
    <r>
      <rPr>
        <sz val="12"/>
        <rFont val="Times New Roman"/>
        <family val="1"/>
      </rPr>
      <t xml:space="preserve"> +15.8X</t>
    </r>
    <r>
      <rPr>
        <vertAlign val="subscript"/>
        <sz val="12"/>
        <rFont val="Times New Roman"/>
        <family val="1"/>
      </rPr>
      <t>Fe</t>
    </r>
    <r>
      <rPr>
        <sz val="12"/>
        <rFont val="Times New Roman"/>
        <family val="1"/>
      </rPr>
      <t xml:space="preserve"> +15.6X</t>
    </r>
    <r>
      <rPr>
        <vertAlign val="subscript"/>
        <sz val="12"/>
        <rFont val="Times New Roman"/>
        <family val="1"/>
      </rPr>
      <t>Mn</t>
    </r>
    <r>
      <rPr>
        <sz val="12"/>
        <rFont val="Times New Roman"/>
        <family val="1"/>
      </rPr>
      <t xml:space="preserve"> +15.5XNi+15.5XCr+38.4XFe2O3+ 38XCr2O3+31.3X</t>
    </r>
    <r>
      <rPr>
        <vertAlign val="subscript"/>
        <sz val="12"/>
        <rFont val="Times New Roman"/>
        <family val="1"/>
      </rPr>
      <t>CaF2+24XTi+36XZr</t>
    </r>
  </si>
  <si>
    <t>crys</t>
  </si>
  <si>
    <t>glassy- dotted line</t>
  </si>
  <si>
    <t>O=liquid</t>
  </si>
  <si>
    <t>diamonds=cryst</t>
  </si>
  <si>
    <t>VISCOSITY -MLL model</t>
  </si>
  <si>
    <t>ln A</t>
  </si>
  <si>
    <r>
      <t>lnA=-6.00-1.15Q +4.33 X</t>
    </r>
    <r>
      <rPr>
        <vertAlign val="subscript"/>
        <sz val="12"/>
        <rFont val="Times New Roman"/>
        <family val="1"/>
      </rPr>
      <t>M+</t>
    </r>
    <r>
      <rPr>
        <sz val="12"/>
        <rFont val="Times New Roman"/>
        <family val="1"/>
      </rPr>
      <t>+ 1.14 X</t>
    </r>
    <r>
      <rPr>
        <vertAlign val="subscript"/>
        <sz val="12"/>
        <rFont val="Times New Roman"/>
        <family val="1"/>
      </rPr>
      <t>FeO –</t>
    </r>
    <r>
      <rPr>
        <sz val="12"/>
        <rFont val="Times New Roman"/>
        <family val="1"/>
      </rPr>
      <t>X</t>
    </r>
    <r>
      <rPr>
        <vertAlign val="subscript"/>
        <sz val="12"/>
        <rFont val="Times New Roman"/>
        <family val="1"/>
      </rPr>
      <t>Cr2O3</t>
    </r>
    <r>
      <rPr>
        <sz val="12"/>
        <rFont val="Times New Roman"/>
        <family val="1"/>
      </rPr>
      <t xml:space="preserve">.  </t>
    </r>
  </si>
  <si>
    <t>XM+</t>
  </si>
  <si>
    <t>XFeO</t>
  </si>
  <si>
    <t>XCr2O3</t>
  </si>
  <si>
    <r>
      <t>B= 10000+4500Q -10830 X</t>
    </r>
    <r>
      <rPr>
        <vertAlign val="subscript"/>
        <sz val="12"/>
        <rFont val="Times New Roman"/>
        <family val="1"/>
      </rPr>
      <t>M+</t>
    </r>
    <r>
      <rPr>
        <sz val="12"/>
        <rFont val="Times New Roman"/>
        <family val="1"/>
      </rPr>
      <t>- 6050X</t>
    </r>
    <r>
      <rPr>
        <vertAlign val="subscript"/>
        <sz val="12"/>
        <rFont val="Times New Roman"/>
        <family val="1"/>
      </rPr>
      <t>FeO</t>
    </r>
  </si>
  <si>
    <t>(NBO/T)2</t>
  </si>
  <si>
    <t>Qfinal</t>
  </si>
  <si>
    <r>
      <t>ViISCOSITY Iida mode</t>
    </r>
    <r>
      <rPr>
        <sz val="10"/>
        <color indexed="10"/>
        <rFont val="Arial"/>
        <family val="2"/>
      </rPr>
      <t>l</t>
    </r>
  </si>
  <si>
    <t>compn</t>
  </si>
  <si>
    <t>mol fr</t>
  </si>
  <si>
    <t>Vm</t>
  </si>
  <si>
    <t>alpha i</t>
  </si>
  <si>
    <t>%F/CaF2</t>
  </si>
  <si>
    <t>Tm</t>
  </si>
  <si>
    <t>E</t>
  </si>
  <si>
    <t>mu0</t>
  </si>
  <si>
    <t>(alpha %)B</t>
  </si>
  <si>
    <t>(alpha %)A</t>
  </si>
  <si>
    <t>alphao Fe2O3</t>
  </si>
  <si>
    <t>alpha0 TiO2</t>
  </si>
  <si>
    <t>alpha0 Cr2O3</t>
  </si>
  <si>
    <t>alpha0 B2O3</t>
  </si>
  <si>
    <t>alpha0 Al2O3</t>
  </si>
  <si>
    <t>CaO+MgO+Al2O3+SiO2</t>
  </si>
  <si>
    <t>CMSA</t>
  </si>
  <si>
    <t>alpha'Al2o3</t>
  </si>
  <si>
    <t>Bi</t>
  </si>
  <si>
    <t>alpha'Al2O3</t>
  </si>
  <si>
    <t>Bij</t>
  </si>
  <si>
    <t>Viscos</t>
  </si>
  <si>
    <t>If SiO2&lt;50</t>
  </si>
  <si>
    <t>if SiO2&gt;50</t>
  </si>
  <si>
    <t>alpha'Al2O</t>
  </si>
  <si>
    <t>Al2O3</t>
  </si>
  <si>
    <t>Bij-forsb</t>
  </si>
  <si>
    <t>Al2o3</t>
  </si>
  <si>
    <t>forsbacka</t>
  </si>
  <si>
    <t>Bij Al2O3</t>
  </si>
  <si>
    <t>Iida</t>
  </si>
  <si>
    <t>Forsbacka</t>
  </si>
  <si>
    <t xml:space="preserve">Pas </t>
  </si>
  <si>
    <t>viscosity</t>
  </si>
  <si>
    <t>Fe2O3</t>
  </si>
  <si>
    <t>alpha'Fe2o</t>
  </si>
  <si>
    <t>10-30%</t>
  </si>
  <si>
    <t>30-50%</t>
  </si>
  <si>
    <t>FeCS</t>
  </si>
  <si>
    <t>B2O3</t>
  </si>
  <si>
    <t>alpha'b2o3</t>
  </si>
  <si>
    <t>d</t>
  </si>
  <si>
    <t>OPTICAL BASICITY MODEL</t>
  </si>
  <si>
    <t>f</t>
  </si>
  <si>
    <t>OPTICAL BASICITY CORRECTION</t>
  </si>
  <si>
    <t>modif X</t>
  </si>
  <si>
    <t>Xn</t>
  </si>
  <si>
    <t>XnΛ</t>
  </si>
  <si>
    <t>%BaO</t>
  </si>
  <si>
    <t>SrO</t>
  </si>
  <si>
    <t>Λcorr</t>
  </si>
  <si>
    <t>lnA</t>
  </si>
  <si>
    <t>lnB/1000</t>
  </si>
  <si>
    <t>IF</t>
  </si>
  <si>
    <t>SiO2</t>
  </si>
  <si>
    <t>CaO</t>
  </si>
  <si>
    <t>MgO</t>
  </si>
  <si>
    <t>Na2O</t>
  </si>
  <si>
    <t>K2O</t>
  </si>
  <si>
    <t>Li2O</t>
  </si>
  <si>
    <t>FeO</t>
  </si>
  <si>
    <t>MnO</t>
  </si>
  <si>
    <t>ZrO2</t>
  </si>
  <si>
    <t>TiO2</t>
  </si>
  <si>
    <t>Cr2O3</t>
  </si>
  <si>
    <t>CrO</t>
  </si>
  <si>
    <t>NiO</t>
  </si>
  <si>
    <t>BaO</t>
  </si>
  <si>
    <t>?</t>
  </si>
  <si>
    <t>Sum</t>
  </si>
  <si>
    <t>X</t>
  </si>
  <si>
    <t>surf ten</t>
  </si>
  <si>
    <t>N</t>
  </si>
  <si>
    <t>surfactants</t>
  </si>
  <si>
    <t>&gt;N</t>
  </si>
  <si>
    <t>&lt;N</t>
  </si>
  <si>
    <r>
      <t>X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γ</t>
    </r>
    <r>
      <rPr>
        <vertAlign val="subscript"/>
        <sz val="12"/>
        <rFont val="Times New Roman"/>
        <family val="1"/>
      </rPr>
      <t>1</t>
    </r>
  </si>
  <si>
    <r>
      <t>X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γ</t>
    </r>
    <r>
      <rPr>
        <vertAlign val="subscript"/>
        <sz val="12"/>
        <rFont val="Times New Roman"/>
        <family val="1"/>
      </rPr>
      <t>1corr</t>
    </r>
  </si>
  <si>
    <t>T</t>
  </si>
  <si>
    <t>dγ/dT</t>
  </si>
  <si>
    <t>Xdγ/dT</t>
  </si>
  <si>
    <t>Keene eq</t>
  </si>
  <si>
    <t>Keene</t>
  </si>
  <si>
    <t>1673K</t>
  </si>
  <si>
    <t>Xcat-tot</t>
  </si>
  <si>
    <t>Xcb</t>
  </si>
  <si>
    <t>Xcat-free</t>
  </si>
  <si>
    <t>Riboud</t>
  </si>
  <si>
    <t>visc dPas</t>
  </si>
  <si>
    <t>ln cond</t>
  </si>
  <si>
    <t xml:space="preserve">cond </t>
  </si>
  <si>
    <t>MLL</t>
  </si>
  <si>
    <t>Opt Bas</t>
  </si>
  <si>
    <t>cond</t>
  </si>
  <si>
    <t xml:space="preserve">ln  cond </t>
  </si>
  <si>
    <t xml:space="preserve">ln cond </t>
  </si>
  <si>
    <t>Forsbacka constants</t>
  </si>
  <si>
    <t>URBAIN MODEL</t>
  </si>
  <si>
    <t>XM</t>
  </si>
  <si>
    <t>XG</t>
  </si>
  <si>
    <t>Bo</t>
  </si>
  <si>
    <t>Normalising term</t>
  </si>
  <si>
    <t>XG*</t>
  </si>
  <si>
    <t>XM*</t>
  </si>
  <si>
    <t>XA*</t>
  </si>
  <si>
    <t>B1</t>
  </si>
  <si>
    <t>B2</t>
  </si>
  <si>
    <t>B3</t>
  </si>
  <si>
    <t xml:space="preserve">dPas </t>
  </si>
  <si>
    <t>Urbain</t>
  </si>
  <si>
    <t>ln viscm</t>
  </si>
  <si>
    <t>ln km</t>
  </si>
  <si>
    <t>km</t>
  </si>
  <si>
    <t>alpha</t>
  </si>
  <si>
    <t>X"MnO"</t>
  </si>
  <si>
    <t>Bglobal</t>
  </si>
  <si>
    <t>Tg ,K</t>
  </si>
  <si>
    <t>Tg</t>
  </si>
  <si>
    <t>LIQUID</t>
  </si>
  <si>
    <t>dk/dT</t>
  </si>
  <si>
    <t>ln k</t>
  </si>
  <si>
    <t>k</t>
  </si>
  <si>
    <t>dk/dt</t>
  </si>
  <si>
    <t>Glassy slag</t>
  </si>
  <si>
    <r>
      <t>Crystalline slag</t>
    </r>
    <r>
      <rPr>
        <sz val="10"/>
        <rFont val="Arial"/>
        <family val="0"/>
      </rPr>
      <t xml:space="preserve"> </t>
    </r>
  </si>
  <si>
    <t>%SrO</t>
  </si>
  <si>
    <t>2Xna+Li+K=2*(</t>
  </si>
  <si>
    <t>Xna/Xtotca</t>
  </si>
  <si>
    <t>F</t>
  </si>
  <si>
    <t>G</t>
  </si>
  <si>
    <t>ln k=F-ln η/G</t>
  </si>
  <si>
    <t>Xcao+MgO+MnO</t>
  </si>
  <si>
    <t>X"CaO"</t>
  </si>
  <si>
    <t>Cp grad</t>
  </si>
  <si>
    <t>mean Cp</t>
  </si>
  <si>
    <t>glass</t>
  </si>
  <si>
    <t>LIQUID SLAGS</t>
  </si>
  <si>
    <t>DENSITY</t>
  </si>
  <si>
    <t>density</t>
  </si>
  <si>
    <t>kg/m3</t>
  </si>
  <si>
    <t>Method2</t>
  </si>
  <si>
    <t>Method1</t>
  </si>
  <si>
    <t>k, W/mK</t>
  </si>
  <si>
    <t>km W/mK</t>
  </si>
  <si>
    <t xml:space="preserve">Iida </t>
  </si>
  <si>
    <r>
      <t>SURFACE TENSION</t>
    </r>
    <r>
      <rPr>
        <sz val="14"/>
        <rFont val="Arial"/>
        <family val="2"/>
      </rPr>
      <t xml:space="preserve"> </t>
    </r>
  </si>
  <si>
    <r>
      <t>THERMAL CONDUCTIVIT</t>
    </r>
    <r>
      <rPr>
        <sz val="14"/>
        <rFont val="Arial"/>
        <family val="2"/>
      </rPr>
      <t>Y</t>
    </r>
  </si>
  <si>
    <t>ity          dPas</t>
  </si>
  <si>
    <t>Electrical Conductivity</t>
  </si>
  <si>
    <t>If slag contains Na2O, K2O, Li2O -give preference to Method 2</t>
  </si>
  <si>
    <t>Thermal conductivity W/mK</t>
  </si>
  <si>
    <t>Temps for glassy slags</t>
  </si>
  <si>
    <t>Temps for crystalline slags</t>
  </si>
  <si>
    <t xml:space="preserve">Density </t>
  </si>
  <si>
    <r>
      <t>T</t>
    </r>
    <r>
      <rPr>
        <b/>
        <sz val="12"/>
        <color indexed="12"/>
        <rFont val="Arial"/>
        <family val="2"/>
      </rPr>
      <t xml:space="preserve">hermal cond </t>
    </r>
  </si>
  <si>
    <t>W/mK</t>
  </si>
  <si>
    <r>
      <t>Subject to uncertainty</t>
    </r>
    <r>
      <rPr>
        <sz val="10"/>
        <rFont val="Arial"/>
        <family val="0"/>
      </rPr>
      <t xml:space="preserve"> </t>
    </r>
  </si>
  <si>
    <t>FeO3</t>
  </si>
  <si>
    <t>0.12-X</t>
  </si>
  <si>
    <t>Method 2aMethod 2b</t>
  </si>
  <si>
    <t>Metod 1</t>
  </si>
  <si>
    <t>Method 1b</t>
  </si>
  <si>
    <t>preferred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</si>
</sst>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  <numFmt numFmtId="186" formatCode="0.000000_ "/>
    <numFmt numFmtId="187" formatCode="0.000_ "/>
    <numFmt numFmtId="188" formatCode="0.00_ "/>
    <numFmt numFmtId="189" formatCode="0.00000_ "/>
    <numFmt numFmtId="190" formatCode="0.00000000_ "/>
    <numFmt numFmtId="191" formatCode="0.0000E+00"/>
    <numFmt numFmtId="192" formatCode="0.0000_);[Red]\(0.0000\)"/>
    <numFmt numFmtId="193" formatCode="0.00_);[Red]\(0.00\)"/>
    <numFmt numFmtId="194" formatCode="0_);[Red]\(0\)"/>
    <numFmt numFmtId="195" formatCode="0.000000E+00"/>
    <numFmt numFmtId="196" formatCode="0.0000_ "/>
    <numFmt numFmtId="197" formatCode="0.000"/>
    <numFmt numFmtId="198" formatCode="0.0"/>
    <numFmt numFmtId="199" formatCode="0_ "/>
    <numFmt numFmtId="200" formatCode="0.0000"/>
    <numFmt numFmtId="201" formatCode="0.000000000000"/>
    <numFmt numFmtId="202" formatCode="0.0_ "/>
    <numFmt numFmtId="203" formatCode="&quot;$&quot;#,##0;\-&quot;$&quot;#,##0"/>
    <numFmt numFmtId="204" formatCode="&quot;$&quot;#,##0;[Red]\-&quot;$&quot;#,##0"/>
    <numFmt numFmtId="205" formatCode="&quot;$&quot;#,##0.00;\-&quot;$&quot;#,##0.00"/>
    <numFmt numFmtId="206" formatCode="&quot;$&quot;#,##0.00;[Red]\-&quot;$&quot;#,##0.00"/>
    <numFmt numFmtId="207" formatCode="_-&quot;$&quot;* #,##0_-;\-&quot;$&quot;* #,##0_-;_-&quot;$&quot;* &quot;-&quot;_-;_-@_-"/>
    <numFmt numFmtId="208" formatCode="_-&quot;$&quot;* #,##0.00_-;\-&quot;$&quot;* #,##0.00_-;_-&quot;$&quot;* &quot;-&quot;??_-;_-@_-"/>
    <numFmt numFmtId="209" formatCode="&quot;US$&quot;#,##0_);\(&quot;US$&quot;#,##0\)"/>
    <numFmt numFmtId="210" formatCode="&quot;US$&quot;#,##0_);[Red]\(&quot;US$&quot;#,##0\)"/>
    <numFmt numFmtId="211" formatCode="&quot;US$&quot;#,##0.00_);\(&quot;US$&quot;#,##0.00\)"/>
    <numFmt numFmtId="212" formatCode="&quot;US$&quot;#,##0.00_);[Red]\(&quot;US$&quot;#,##0.00\)"/>
    <numFmt numFmtId="213" formatCode="m&quot;月&quot;d&quot;日&quot;"/>
  </numFmts>
  <fonts count="2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b/>
      <sz val="10"/>
      <color indexed="14"/>
      <name val="Arial"/>
      <family val="2"/>
    </font>
    <font>
      <b/>
      <vertAlign val="subscript"/>
      <sz val="12"/>
      <name val="Times New Roman"/>
      <family val="1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Times New Roman"/>
      <family val="1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2"/>
    </xf>
    <xf numFmtId="11" fontId="0" fillId="0" borderId="0" xfId="0" applyNumberForma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5" fillId="0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9" fillId="0" borderId="0" xfId="0" applyFont="1" applyAlignment="1">
      <alignment/>
    </xf>
    <xf numFmtId="0" fontId="20" fillId="0" borderId="0" xfId="0" applyFont="1" applyAlignment="1">
      <alignment horizontal="left" indent="2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5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75"/>
          <c:y val="0"/>
          <c:w val="0.91625"/>
          <c:h val="0.92075"/>
        </c:manualLayout>
      </c:layout>
      <c:scatterChart>
        <c:scatterStyle val="lineMarker"/>
        <c:varyColors val="0"/>
        <c:ser>
          <c:idx val="3"/>
          <c:order val="1"/>
          <c:tx>
            <c:v>Tliq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FFFFFF"/>
                </a:solidFill>
              </a:ln>
            </c:spPr>
          </c:marker>
          <c:xVal>
            <c:numRef>
              <c:f>Viscosity!$B$10:$B$11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Viscosity!$C$10:$C$11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v>Riboud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Viscosity!$D$3:$D$6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Viscosity!$H$3:$H$6</c:f>
              <c:numCache>
                <c:ptCount val="4"/>
                <c:pt idx="0">
                  <c:v>0.6641466065252511</c:v>
                </c:pt>
                <c:pt idx="1">
                  <c:v>0.3330932859134932</c:v>
                </c:pt>
                <c:pt idx="2">
                  <c:v>0.18211546423225358</c:v>
                </c:pt>
                <c:pt idx="3">
                  <c:v>0.1069478140293918</c:v>
                </c:pt>
              </c:numCache>
            </c:numRef>
          </c:yVal>
          <c:smooth val="0"/>
        </c:ser>
        <c:axId val="562764"/>
        <c:axId val="5064877"/>
      </c:scatterChart>
      <c:scatterChart>
        <c:scatterStyle val="lineMarker"/>
        <c:varyColors val="0"/>
        <c:ser>
          <c:idx val="2"/>
          <c:order val="0"/>
          <c:tx>
            <c:v>adopt liq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xVal>
            <c:strRef>
              <c:f>Viscosity!$A$15:$A$17</c:f>
              <c:strCache/>
            </c:strRef>
          </c:xVal>
          <c:yVal>
            <c:numRef>
              <c:f>Viscosity!$A$23:$A$25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axId val="45583894"/>
        <c:axId val="7601863"/>
      </c:scatterChart>
      <c:valAx>
        <c:axId val="562764"/>
        <c:scaling>
          <c:orientation val="minMax"/>
          <c:max val="2100"/>
          <c:min val="1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Temperature, T/K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1" i="0" u="none" baseline="0"/>
            </a:pPr>
          </a:p>
        </c:txPr>
        <c:crossAx val="5064877"/>
        <c:crossesAt val="0"/>
        <c:crossBetween val="midCat"/>
        <c:dispUnits/>
        <c:majorUnit val="200"/>
        <c:minorUnit val="100"/>
      </c:valAx>
      <c:valAx>
        <c:axId val="506487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Viscosity, Pas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cross"/>
        <c:minorTickMark val="in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1" i="0" u="none" baseline="0"/>
            </a:pPr>
          </a:p>
        </c:txPr>
        <c:crossAx val="562764"/>
        <c:crossesAt val="1600"/>
        <c:crossBetween val="midCat"/>
        <c:dispUnits/>
        <c:majorUnit val="0.2"/>
        <c:minorUnit val="0.1"/>
      </c:valAx>
      <c:valAx>
        <c:axId val="45583894"/>
        <c:scaling>
          <c:orientation val="minMax"/>
          <c:max val="2100"/>
          <c:min val="1600"/>
        </c:scaling>
        <c:axPos val="b"/>
        <c:delete val="0"/>
        <c:numFmt formatCode="General" sourceLinked="1"/>
        <c:majorTickMark val="cross"/>
        <c:minorTickMark val="in"/>
        <c:tickLblPos val="none"/>
        <c:spPr>
          <a:ln w="25400">
            <a:solidFill>
              <a:srgbClr val="000000"/>
            </a:solidFill>
          </a:ln>
        </c:spPr>
        <c:crossAx val="7601863"/>
        <c:crossesAt val="1"/>
        <c:crossBetween val="midCat"/>
        <c:dispUnits/>
        <c:majorUnit val="200"/>
        <c:minorUnit val="100"/>
      </c:valAx>
      <c:valAx>
        <c:axId val="7601863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cross"/>
        <c:minorTickMark val="in"/>
        <c:tickLblPos val="none"/>
        <c:spPr>
          <a:ln w="25400">
            <a:solidFill>
              <a:srgbClr val="000000"/>
            </a:solidFill>
          </a:ln>
        </c:spPr>
        <c:crossAx val="45583894"/>
        <c:crossesAt val="2100"/>
        <c:crossBetween val="midCat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75"/>
          <c:y val="0"/>
          <c:w val="0.91625"/>
          <c:h val="0.91675"/>
        </c:manualLayout>
      </c:layout>
      <c:scatterChart>
        <c:scatterStyle val="lineMarker"/>
        <c:varyColors val="0"/>
        <c:ser>
          <c:idx val="3"/>
          <c:order val="1"/>
          <c:tx>
            <c:v>Tbr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FFFFFF"/>
                </a:solidFill>
              </a:ln>
            </c:spPr>
          </c:marker>
          <c:xVal>
            <c:numRef>
              <c:f>Density!$E$48:$E$49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Density!$F$48:$F$49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v>solid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Density!$D$25:$D$37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Density!$G$25:$G$37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1"/>
          <c:order val="3"/>
          <c:tx>
            <c:v>liquid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Density!$D$42:$D$45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Density!$G$42:$G$45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Glassy slag 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Density!$D$25:$D$37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Density!$J$25:$J$37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1307904"/>
        <c:axId val="11771137"/>
      </c:scatterChart>
      <c:scatterChart>
        <c:scatterStyle val="lineMarker"/>
        <c:varyColors val="0"/>
        <c:ser>
          <c:idx val="2"/>
          <c:order val="0"/>
          <c:tx>
            <c:v>adopt liq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xVal>
            <c:numRef>
              <c:f>Density!$D$35:$D$40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Density!$G$42:$G$45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38831370"/>
        <c:axId val="13938011"/>
      </c:scatterChart>
      <c:valAx>
        <c:axId val="1307904"/>
        <c:scaling>
          <c:orientation val="minMax"/>
          <c:max val="21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Temperature, T/K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1" i="0" u="none" baseline="0"/>
            </a:pPr>
          </a:p>
        </c:txPr>
        <c:crossAx val="11771137"/>
        <c:crossesAt val="2000"/>
        <c:crossBetween val="midCat"/>
        <c:dispUnits/>
        <c:majorUnit val="400"/>
        <c:minorUnit val="100"/>
      </c:valAx>
      <c:valAx>
        <c:axId val="11771137"/>
        <c:scaling>
          <c:orientation val="minMax"/>
          <c:max val="4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Density, Kg/m</a:t>
                </a:r>
                <a:r>
                  <a:rPr lang="en-US" cap="none" sz="1200" b="1" i="0" u="none" baseline="30000"/>
                  <a:t>3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cross"/>
        <c:minorTickMark val="in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1" i="0" u="none" baseline="0"/>
            </a:pPr>
          </a:p>
        </c:txPr>
        <c:crossAx val="1307904"/>
        <c:crossesAt val="300"/>
        <c:crossBetween val="midCat"/>
        <c:dispUnits/>
        <c:majorUnit val="200"/>
        <c:minorUnit val="100"/>
      </c:valAx>
      <c:valAx>
        <c:axId val="38831370"/>
        <c:scaling>
          <c:orientation val="minMax"/>
          <c:max val="2100"/>
          <c:min val="300"/>
        </c:scaling>
        <c:axPos val="b"/>
        <c:delete val="0"/>
        <c:numFmt formatCode="General" sourceLinked="1"/>
        <c:majorTickMark val="cross"/>
        <c:minorTickMark val="in"/>
        <c:tickLblPos val="none"/>
        <c:spPr>
          <a:ln w="25400">
            <a:solidFill>
              <a:srgbClr val="000000"/>
            </a:solidFill>
          </a:ln>
        </c:spPr>
        <c:crossAx val="13938011"/>
        <c:crossesAt val="4000"/>
        <c:crossBetween val="midCat"/>
        <c:dispUnits/>
        <c:majorUnit val="200"/>
        <c:minorUnit val="100"/>
      </c:valAx>
      <c:valAx>
        <c:axId val="13938011"/>
        <c:scaling>
          <c:orientation val="minMax"/>
          <c:max val="4000"/>
          <c:min val="2000"/>
        </c:scaling>
        <c:axPos val="l"/>
        <c:delete val="0"/>
        <c:numFmt formatCode="General" sourceLinked="1"/>
        <c:majorTickMark val="cross"/>
        <c:minorTickMark val="in"/>
        <c:tickLblPos val="none"/>
        <c:spPr>
          <a:ln w="25400">
            <a:solidFill>
              <a:srgbClr val="000000"/>
            </a:solidFill>
          </a:ln>
        </c:spPr>
        <c:crossAx val="38831370"/>
        <c:crossesAt val="2100"/>
        <c:crossBetween val="midCat"/>
        <c:dispUnits/>
        <c:majorUnit val="200"/>
        <c:minorUnit val="100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75"/>
          <c:y val="0"/>
          <c:w val="0.91625"/>
          <c:h val="0.91975"/>
        </c:manualLayout>
      </c:layout>
      <c:scatterChart>
        <c:scatterStyle val="lineMarker"/>
        <c:varyColors val="0"/>
        <c:ser>
          <c:idx val="3"/>
          <c:order val="1"/>
          <c:tx>
            <c:v>Tliq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FFFFFF"/>
                </a:solidFill>
              </a:ln>
            </c:spPr>
          </c:marker>
          <c:xVal>
            <c:numRef>
              <c:f>'Cp,enthalpy'!$M$18:$M$19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'Cp,enthalpy'!$U$25:$U$26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v>solid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'Cp,enthalpy'!$M$7:$M$18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'Cp,enthalpy'!$N$7:$N$18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1"/>
          <c:order val="3"/>
          <c:tx>
            <c:v>liquid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'Cp,enthalpy'!$M$21:$M$25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'Cp,enthalpy'!$Q$21:$Q$25</c:f>
              <c:numCache>
                <c:ptCount val="5"/>
                <c:pt idx="0">
                  <c:v>1573.4583151306863</c:v>
                </c:pt>
                <c:pt idx="1">
                  <c:v>1591.3411751651142</c:v>
                </c:pt>
                <c:pt idx="2">
                  <c:v>1600.2826051823283</c:v>
                </c:pt>
                <c:pt idx="3">
                  <c:v>1609.2240351995422</c:v>
                </c:pt>
                <c:pt idx="4">
                  <c:v>0</c:v>
                </c:pt>
              </c:numCache>
            </c:numRef>
          </c:yVal>
          <c:smooth val="0"/>
        </c:ser>
        <c:axId val="58333236"/>
        <c:axId val="55237077"/>
      </c:scatterChart>
      <c:scatterChart>
        <c:scatterStyle val="lineMarker"/>
        <c:varyColors val="0"/>
        <c:ser>
          <c:idx val="2"/>
          <c:order val="0"/>
          <c:tx>
            <c:v>adopt liq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xVal>
            <c:numRef>
              <c:f>Density!$D$35:$D$40</c:f>
              <c:numCache>
                <c:ptCount val="6"/>
                <c:pt idx="0">
                  <c:v>1400</c:v>
                </c:pt>
                <c:pt idx="1">
                  <c:v>1600</c:v>
                </c:pt>
                <c:pt idx="2">
                  <c:v>1700</c:v>
                </c:pt>
                <c:pt idx="3">
                  <c:v>1473</c:v>
                </c:pt>
              </c:numCache>
            </c:numRef>
          </c:xVal>
          <c:yVal>
            <c:numRef>
              <c:f>Density!$G$42:$G$45</c:f>
              <c:numCache>
                <c:ptCount val="4"/>
                <c:pt idx="0">
                  <c:v>2659.763597453724</c:v>
                </c:pt>
                <c:pt idx="1">
                  <c:v>2632.6231525817466</c:v>
                </c:pt>
                <c:pt idx="2">
                  <c:v>2606.030999525365</c:v>
                </c:pt>
                <c:pt idx="3">
                  <c:v>2579.9706895301115</c:v>
                </c:pt>
              </c:numCache>
            </c:numRef>
          </c:yVal>
          <c:smooth val="0"/>
        </c:ser>
        <c:axId val="27371646"/>
        <c:axId val="45018223"/>
      </c:scatterChart>
      <c:valAx>
        <c:axId val="58333236"/>
        <c:scaling>
          <c:orientation val="minMax"/>
          <c:max val="21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Temperature, T/K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1" i="0" u="none" baseline="0"/>
            </a:pPr>
          </a:p>
        </c:txPr>
        <c:crossAx val="55237077"/>
        <c:crossesAt val="700"/>
        <c:crossBetween val="midCat"/>
        <c:dispUnits/>
        <c:majorUnit val="400"/>
        <c:minorUnit val="100"/>
      </c:valAx>
      <c:valAx>
        <c:axId val="55237077"/>
        <c:scaling>
          <c:orientation val="minMax"/>
          <c:max val="2500"/>
          <c:min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Heat Capacity, J/ K.kg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cross"/>
        <c:minorTickMark val="in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1" i="0" u="none" baseline="0"/>
            </a:pPr>
          </a:p>
        </c:txPr>
        <c:crossAx val="58333236"/>
        <c:crossesAt val="300"/>
        <c:crossBetween val="midCat"/>
        <c:dispUnits/>
        <c:majorUnit val="200"/>
        <c:minorUnit val="100"/>
      </c:valAx>
      <c:valAx>
        <c:axId val="27371646"/>
        <c:scaling>
          <c:orientation val="minMax"/>
          <c:max val="2100"/>
          <c:min val="300"/>
        </c:scaling>
        <c:axPos val="b"/>
        <c:delete val="0"/>
        <c:numFmt formatCode="General" sourceLinked="1"/>
        <c:majorTickMark val="cross"/>
        <c:minorTickMark val="in"/>
        <c:tickLblPos val="none"/>
        <c:spPr>
          <a:ln w="25400">
            <a:solidFill>
              <a:srgbClr val="000000"/>
            </a:solidFill>
          </a:ln>
        </c:spPr>
        <c:crossAx val="45018223"/>
        <c:crossesAt val="2500"/>
        <c:crossBetween val="midCat"/>
        <c:dispUnits/>
        <c:majorUnit val="200"/>
        <c:minorUnit val="100"/>
      </c:valAx>
      <c:valAx>
        <c:axId val="45018223"/>
        <c:scaling>
          <c:orientation val="minMax"/>
          <c:max val="2500"/>
          <c:min val="700"/>
        </c:scaling>
        <c:axPos val="l"/>
        <c:delete val="0"/>
        <c:numFmt formatCode="General" sourceLinked="1"/>
        <c:majorTickMark val="cross"/>
        <c:minorTickMark val="in"/>
        <c:tickLblPos val="none"/>
        <c:spPr>
          <a:ln w="25400">
            <a:solidFill>
              <a:srgbClr val="000000"/>
            </a:solidFill>
          </a:ln>
        </c:spPr>
        <c:crossAx val="27371646"/>
        <c:crossesAt val="2100"/>
        <c:crossBetween val="midCat"/>
        <c:dispUnits/>
        <c:majorUnit val="200"/>
        <c:minorUnit val="100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0"/>
          <c:w val="0.9165"/>
          <c:h val="0.91925"/>
        </c:manualLayout>
      </c:layout>
      <c:scatterChart>
        <c:scatterStyle val="lineMarker"/>
        <c:varyColors val="0"/>
        <c:ser>
          <c:idx val="3"/>
          <c:order val="1"/>
          <c:tx>
            <c:v>Tliq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FFFFFF"/>
                </a:solidFill>
              </a:ln>
            </c:spPr>
          </c:marker>
          <c:xVal>
            <c:numRef>
              <c:f>'Cp,enthalpy'!$M$18:$M$19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'Cp,enthalpy'!$V$25:$V$26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v>solid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'Cp,enthalpy'!$M$7:$M$18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'Cp,enthalpy'!$Q$7:$Q$18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1"/>
          <c:order val="3"/>
          <c:tx>
            <c:v>liquid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'Cp,enthalpy'!$M$21:$M$25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'Cp,enthalpy'!$Q$21:$Q$25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2510824"/>
        <c:axId val="22597417"/>
      </c:scatterChart>
      <c:scatterChart>
        <c:scatterStyle val="lineMarker"/>
        <c:varyColors val="0"/>
        <c:ser>
          <c:idx val="2"/>
          <c:order val="0"/>
          <c:tx>
            <c:v>adopt liq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xVal>
            <c:numRef>
              <c:f>'Cp,enthalpy'!$M$18:$M$19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'Cp,enthalpy'!$V$25:$V$26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2050162"/>
        <c:axId val="18451459"/>
      </c:scatterChart>
      <c:valAx>
        <c:axId val="2510824"/>
        <c:scaling>
          <c:orientation val="minMax"/>
          <c:max val="21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Temperature, T/K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1" i="0" u="none" baseline="0"/>
            </a:pPr>
          </a:p>
        </c:txPr>
        <c:crossAx val="22597417"/>
        <c:crossesAt val="0"/>
        <c:crossBetween val="midCat"/>
        <c:dispUnits/>
        <c:majorUnit val="400"/>
        <c:minorUnit val="100"/>
      </c:valAx>
      <c:valAx>
        <c:axId val="22597417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(H</a:t>
                </a:r>
                <a:r>
                  <a:rPr lang="en-US" cap="none" sz="1200" b="1" i="0" u="none" baseline="-25000"/>
                  <a:t>T</a:t>
                </a:r>
                <a:r>
                  <a:rPr lang="en-US" cap="none" sz="1200" b="1" i="0" u="none" baseline="0"/>
                  <a:t>- H</a:t>
                </a:r>
                <a:r>
                  <a:rPr lang="en-US" cap="none" sz="1200" b="1" i="0" u="none" baseline="-25000"/>
                  <a:t>298</a:t>
                </a:r>
                <a:r>
                  <a:rPr lang="en-US" cap="none" sz="1200" b="1" i="0" u="none" baseline="0"/>
                  <a:t>), kJ/ .kg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cross"/>
        <c:minorTickMark val="in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1" i="0" u="none" baseline="0"/>
            </a:pPr>
          </a:p>
        </c:txPr>
        <c:crossAx val="2510824"/>
        <c:crossesAt val="300"/>
        <c:crossBetween val="midCat"/>
        <c:dispUnits/>
        <c:majorUnit val="500"/>
        <c:minorUnit val="100"/>
      </c:valAx>
      <c:valAx>
        <c:axId val="2050162"/>
        <c:scaling>
          <c:orientation val="minMax"/>
          <c:max val="2100"/>
          <c:min val="300"/>
        </c:scaling>
        <c:axPos val="b"/>
        <c:delete val="0"/>
        <c:numFmt formatCode="General" sourceLinked="1"/>
        <c:majorTickMark val="cross"/>
        <c:minorTickMark val="in"/>
        <c:tickLblPos val="none"/>
        <c:spPr>
          <a:ln w="25400">
            <a:solidFill>
              <a:srgbClr val="000000"/>
            </a:solidFill>
          </a:ln>
        </c:spPr>
        <c:crossAx val="18451459"/>
        <c:crossesAt val="3000"/>
        <c:crossBetween val="midCat"/>
        <c:dispUnits/>
        <c:majorUnit val="200"/>
        <c:minorUnit val="100"/>
      </c:valAx>
      <c:valAx>
        <c:axId val="18451459"/>
        <c:scaling>
          <c:orientation val="minMax"/>
          <c:max val="3000"/>
          <c:min val="0"/>
        </c:scaling>
        <c:axPos val="l"/>
        <c:delete val="0"/>
        <c:numFmt formatCode="General" sourceLinked="1"/>
        <c:majorTickMark val="cross"/>
        <c:minorTickMark val="in"/>
        <c:tickLblPos val="none"/>
        <c:spPr>
          <a:ln w="25400">
            <a:solidFill>
              <a:srgbClr val="000000"/>
            </a:solidFill>
          </a:ln>
        </c:spPr>
        <c:crossAx val="2050162"/>
        <c:crossesAt val="2100"/>
        <c:crossBetween val="midCat"/>
        <c:dispUnits/>
        <c:majorUnit val="500"/>
        <c:minorUnit val="100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171450</xdr:colOff>
      <xdr:row>11</xdr:row>
      <xdr:rowOff>76200</xdr:rowOff>
    </xdr:from>
    <xdr:to>
      <xdr:col>20</xdr:col>
      <xdr:colOff>981075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10134600" y="2276475"/>
        <a:ext cx="44672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27</xdr:row>
      <xdr:rowOff>161925</xdr:rowOff>
    </xdr:from>
    <xdr:to>
      <xdr:col>18</xdr:col>
      <xdr:colOff>152400</xdr:colOff>
      <xdr:row>47</xdr:row>
      <xdr:rowOff>114300</xdr:rowOff>
    </xdr:to>
    <xdr:graphicFrame>
      <xdr:nvGraphicFramePr>
        <xdr:cNvPr id="1" name="Chart 1"/>
        <xdr:cNvGraphicFramePr/>
      </xdr:nvGraphicFramePr>
      <xdr:xfrm>
        <a:off x="6657975" y="5314950"/>
        <a:ext cx="44672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590550</xdr:colOff>
      <xdr:row>3</xdr:row>
      <xdr:rowOff>171450</xdr:rowOff>
    </xdr:from>
    <xdr:to>
      <xdr:col>26</xdr:col>
      <xdr:colOff>180975</xdr:colOff>
      <xdr:row>23</xdr:row>
      <xdr:rowOff>57150</xdr:rowOff>
    </xdr:to>
    <xdr:graphicFrame>
      <xdr:nvGraphicFramePr>
        <xdr:cNvPr id="1" name="Chart 2"/>
        <xdr:cNvGraphicFramePr/>
      </xdr:nvGraphicFramePr>
      <xdr:xfrm>
        <a:off x="11715750" y="723900"/>
        <a:ext cx="44672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190500</xdr:colOff>
      <xdr:row>27</xdr:row>
      <xdr:rowOff>85725</xdr:rowOff>
    </xdr:from>
    <xdr:to>
      <xdr:col>26</xdr:col>
      <xdr:colOff>400050</xdr:colOff>
      <xdr:row>48</xdr:row>
      <xdr:rowOff>28575</xdr:rowOff>
    </xdr:to>
    <xdr:graphicFrame>
      <xdr:nvGraphicFramePr>
        <xdr:cNvPr id="2" name="Chart 3"/>
        <xdr:cNvGraphicFramePr/>
      </xdr:nvGraphicFramePr>
      <xdr:xfrm>
        <a:off x="11925300" y="4781550"/>
        <a:ext cx="4476750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"/>
  <sheetViews>
    <sheetView workbookViewId="0" topLeftCell="L1">
      <selection activeCell="AC21" sqref="AC21"/>
    </sheetView>
  </sheetViews>
  <sheetFormatPr defaultColWidth="9.140625" defaultRowHeight="12.75"/>
  <cols>
    <col min="2" max="2" width="11.421875" style="0" bestFit="1" customWidth="1"/>
  </cols>
  <sheetData>
    <row r="1" ht="12.75">
      <c r="L1" t="s">
        <v>73</v>
      </c>
    </row>
    <row r="2" spans="3:27" ht="12.75">
      <c r="C2" t="s">
        <v>212</v>
      </c>
      <c r="G2" s="4" t="s">
        <v>229</v>
      </c>
      <c r="H2" t="s">
        <v>231</v>
      </c>
      <c r="I2" t="s">
        <v>232</v>
      </c>
      <c r="K2" s="4" t="s">
        <v>234</v>
      </c>
      <c r="L2" t="s">
        <v>231</v>
      </c>
      <c r="M2" t="s">
        <v>235</v>
      </c>
      <c r="O2" s="4" t="s">
        <v>233</v>
      </c>
      <c r="S2" s="4" t="s">
        <v>172</v>
      </c>
      <c r="T2" t="s">
        <v>237</v>
      </c>
      <c r="U2" t="s">
        <v>235</v>
      </c>
      <c r="W2" t="s">
        <v>238</v>
      </c>
      <c r="AA2" t="s">
        <v>251</v>
      </c>
    </row>
    <row r="3" spans="2:19" ht="12.75">
      <c r="B3" s="1"/>
      <c r="G3" t="s">
        <v>230</v>
      </c>
      <c r="K3" t="s">
        <v>230</v>
      </c>
      <c r="O3" t="s">
        <v>230</v>
      </c>
      <c r="P3" t="s">
        <v>236</v>
      </c>
      <c r="Q3" t="s">
        <v>235</v>
      </c>
      <c r="S3" t="s">
        <v>230</v>
      </c>
    </row>
    <row r="4" spans="2:29" ht="12.75">
      <c r="B4" t="s">
        <v>0</v>
      </c>
      <c r="C4">
        <f>'Comp''n'!J4</f>
        <v>0.4000171641944302</v>
      </c>
      <c r="F4" s="7">
        <f>'Comp''n'!B47</f>
        <v>1473</v>
      </c>
      <c r="G4">
        <f>Viscosity!G3</f>
        <v>5.42658538849298</v>
      </c>
      <c r="H4">
        <f aca="true" t="shared" si="0" ref="H4:H10">(-0.08-LN(G4))/1.18</f>
        <v>-1.5011102493590562</v>
      </c>
      <c r="I4" s="4">
        <f aca="true" t="shared" si="1" ref="I4:I10">EXP(H4)</f>
        <v>0.22288256750136076</v>
      </c>
      <c r="K4">
        <f>Viscosity!L19</f>
        <v>3.873543319578661</v>
      </c>
      <c r="L4">
        <f aca="true" t="shared" si="2" ref="L4:L9">(0.15-LN(K4))/1.1</f>
        <v>-1.0946997041841058</v>
      </c>
      <c r="M4" s="4">
        <f aca="true" t="shared" si="3" ref="M4:M9">EXP(L4)</f>
        <v>0.33464008287832075</v>
      </c>
      <c r="O4">
        <f>Viscosity!E19</f>
        <v>93.37740206947362</v>
      </c>
      <c r="P4">
        <f aca="true" t="shared" si="4" ref="P4:P9">-(-0.08-LN(O4))/1.18</f>
        <v>3.912414718725748</v>
      </c>
      <c r="Q4" s="4">
        <f aca="true" t="shared" si="5" ref="Q4:Q9">EXP(P4)</f>
        <v>50.0195895013637</v>
      </c>
      <c r="S4">
        <f>Viscosity!Z39</f>
        <v>5.871388425043166</v>
      </c>
      <c r="T4">
        <f aca="true" t="shared" si="6" ref="T4:T10">(-0.08-LN(S4))/1.18</f>
        <v>-1.5678738430844157</v>
      </c>
      <c r="U4" s="4">
        <f aca="true" t="shared" si="7" ref="U4:U10">EXP(T4)</f>
        <v>0.20848798963230739</v>
      </c>
      <c r="W4">
        <f>Viscosity!AC39</f>
        <v>5.782110715210318</v>
      </c>
      <c r="X4">
        <f aca="true" t="shared" si="8" ref="X4:X9">(0.15-LN(W4))/1.1</f>
        <v>-1.4588807196961937</v>
      </c>
      <c r="Y4" s="4">
        <f aca="true" t="shared" si="9" ref="Y4:Y9">EXP(X4)</f>
        <v>0.23249635774363817</v>
      </c>
      <c r="AA4">
        <f>Viscosity!E107</f>
        <v>18.848906173204952</v>
      </c>
      <c r="AB4">
        <f aca="true" t="shared" si="10" ref="AB4:AB10">(-0.08-LN(AA4))/1.18</f>
        <v>-2.556317698528514</v>
      </c>
      <c r="AC4" s="4">
        <f aca="true" t="shared" si="11" ref="AC4:AC10">EXP(AB4)</f>
        <v>0.07758992454746778</v>
      </c>
    </row>
    <row r="5" spans="2:29" ht="12.75">
      <c r="B5" t="s">
        <v>1</v>
      </c>
      <c r="C5">
        <f>'Comp''n'!J5</f>
        <v>0.31413494346269094</v>
      </c>
      <c r="F5" s="7">
        <f>'Comp''n'!B48</f>
        <v>1573</v>
      </c>
      <c r="G5">
        <f>Viscosity!G4</f>
        <v>2.7845273238324384</v>
      </c>
      <c r="H5">
        <f t="shared" si="0"/>
        <v>-0.9356594379932742</v>
      </c>
      <c r="I5" s="4">
        <f t="shared" si="1"/>
        <v>0.3923270648370482</v>
      </c>
      <c r="K5">
        <f>Viscosity!L20</f>
        <v>2.444679607805686</v>
      </c>
      <c r="L5">
        <f t="shared" si="2"/>
        <v>-0.6762855223528192</v>
      </c>
      <c r="M5" s="4">
        <f t="shared" si="3"/>
        <v>0.5085023091752907</v>
      </c>
      <c r="O5">
        <f>Viscosity!E20</f>
        <v>41.763994054690926</v>
      </c>
      <c r="P5">
        <f t="shared" si="4"/>
        <v>3.230537781417777</v>
      </c>
      <c r="Q5" s="4">
        <f t="shared" si="5"/>
        <v>25.293255556935343</v>
      </c>
      <c r="S5">
        <f>Viscosity!Z40</f>
        <v>2.822361034394221</v>
      </c>
      <c r="T5">
        <f t="shared" si="6"/>
        <v>-0.9470964244864271</v>
      </c>
      <c r="U5" s="4">
        <f t="shared" si="7"/>
        <v>0.3878655870578928</v>
      </c>
      <c r="W5">
        <f>Viscosity!AC40</f>
        <v>2.750995875603846</v>
      </c>
      <c r="X5">
        <f t="shared" si="8"/>
        <v>-0.7836027115509729</v>
      </c>
      <c r="Y5" s="4">
        <f t="shared" si="9"/>
        <v>0.4567574780512555</v>
      </c>
      <c r="AA5">
        <f>Viscosity!E108</f>
        <v>9.08851888000792</v>
      </c>
      <c r="AB5">
        <f t="shared" si="10"/>
        <v>-1.9381457249323966</v>
      </c>
      <c r="AC5" s="4">
        <f t="shared" si="11"/>
        <v>0.1439706636328968</v>
      </c>
    </row>
    <row r="6" spans="2:29" ht="12.75">
      <c r="B6" t="s">
        <v>2</v>
      </c>
      <c r="C6">
        <f>'Comp''n'!J6</f>
        <v>0.038194886112509575</v>
      </c>
      <c r="F6" s="7">
        <f>'Comp''n'!B49</f>
        <v>1673</v>
      </c>
      <c r="G6">
        <f>Viscosity!G5</f>
        <v>1.553349240030372</v>
      </c>
      <c r="H6">
        <f t="shared" si="0"/>
        <v>-0.44102830489823136</v>
      </c>
      <c r="I6" s="4">
        <f t="shared" si="1"/>
        <v>0.643374495665604</v>
      </c>
      <c r="K6">
        <f>Viscosity!L21</f>
        <v>1.6301630891936632</v>
      </c>
      <c r="L6">
        <f t="shared" si="2"/>
        <v>-0.3078909677577909</v>
      </c>
      <c r="M6" s="4">
        <f t="shared" si="3"/>
        <v>0.7349954518425315</v>
      </c>
      <c r="O6">
        <f>Viscosity!E21</f>
        <v>20.565358930370675</v>
      </c>
      <c r="P6">
        <f t="shared" si="4"/>
        <v>2.630176317786791</v>
      </c>
      <c r="Q6" s="4">
        <f t="shared" si="5"/>
        <v>13.876216310199789</v>
      </c>
      <c r="S6">
        <f>Viscosity!Z41</f>
        <v>1.4624607037996415</v>
      </c>
      <c r="T6">
        <f t="shared" si="6"/>
        <v>-0.3899325682763262</v>
      </c>
      <c r="U6" s="4">
        <f t="shared" si="7"/>
        <v>0.6771025311495733</v>
      </c>
      <c r="W6">
        <f>Viscosity!AC41</f>
        <v>1.4159607294178653</v>
      </c>
      <c r="X6">
        <f t="shared" si="8"/>
        <v>-0.1798256922045354</v>
      </c>
      <c r="Y6" s="4">
        <f t="shared" si="9"/>
        <v>0.8354158182102718</v>
      </c>
      <c r="AA6">
        <f>Viscosity!E109</f>
        <v>4.799795451313814</v>
      </c>
      <c r="AB6">
        <f t="shared" si="10"/>
        <v>-1.3970960192340744</v>
      </c>
      <c r="AC6" s="4">
        <f t="shared" si="11"/>
        <v>0.24731411757802585</v>
      </c>
    </row>
    <row r="7" spans="2:29" ht="12.75">
      <c r="B7" t="s">
        <v>3</v>
      </c>
      <c r="C7">
        <f>'Comp''n'!J7</f>
        <v>0.016096190632194897</v>
      </c>
      <c r="F7" s="7">
        <f>'Comp''n'!B50</f>
        <v>1773</v>
      </c>
      <c r="G7">
        <f>Viscosity!G6</f>
        <v>0.9286356461064101</v>
      </c>
      <c r="H7">
        <f t="shared" si="0"/>
        <v>-0.005051849830833843</v>
      </c>
      <c r="I7" s="4">
        <f t="shared" si="1"/>
        <v>0.9949608893014338</v>
      </c>
      <c r="K7">
        <f>Viscosity!L22</f>
        <v>1.13786958702408</v>
      </c>
      <c r="L7">
        <f t="shared" si="2"/>
        <v>0.01894751750897869</v>
      </c>
      <c r="M7" s="4">
        <f t="shared" si="3"/>
        <v>1.019128160829284</v>
      </c>
      <c r="O7">
        <f>Viscosity!E22</f>
        <v>10.96923216448767</v>
      </c>
      <c r="P7">
        <f t="shared" si="4"/>
        <v>2.097537523488122</v>
      </c>
      <c r="Q7" s="4">
        <f t="shared" si="5"/>
        <v>8.146085649627718</v>
      </c>
      <c r="S7">
        <f>Viscosity!Z42</f>
        <v>0.8200868915921387</v>
      </c>
      <c r="T7">
        <f t="shared" si="6"/>
        <v>0.10029235506907067</v>
      </c>
      <c r="U7" s="4">
        <f t="shared" si="7"/>
        <v>1.1054940676306402</v>
      </c>
      <c r="W7">
        <f>Viscosity!AC42</f>
        <v>0.7910216832146253</v>
      </c>
      <c r="X7">
        <f t="shared" si="8"/>
        <v>0.3494817265293874</v>
      </c>
      <c r="Y7" s="4">
        <f t="shared" si="9"/>
        <v>1.4183322740829087</v>
      </c>
      <c r="AA7">
        <f>Viscosity!E110</f>
        <v>2.733344198719221</v>
      </c>
      <c r="AB7">
        <f t="shared" si="10"/>
        <v>-0.9199371531655725</v>
      </c>
      <c r="AC7" s="4">
        <f t="shared" si="11"/>
        <v>0.39854408753174214</v>
      </c>
    </row>
    <row r="8" spans="2:29" ht="12.75">
      <c r="B8" t="s">
        <v>4</v>
      </c>
      <c r="C8">
        <f>'Comp''n'!J8</f>
        <v>0.10462523910926683</v>
      </c>
      <c r="F8" s="7">
        <f>'Comp''n'!B51</f>
        <v>1873</v>
      </c>
      <c r="G8">
        <f>Viscosity!G7</f>
        <v>0.5882844788965207</v>
      </c>
      <c r="H8">
        <f t="shared" si="0"/>
        <v>0.38181749189284003</v>
      </c>
      <c r="I8" s="4">
        <f t="shared" si="1"/>
        <v>1.4649446964497579</v>
      </c>
      <c r="K8">
        <f>Viscosity!L23</f>
        <v>0.8253278276041134</v>
      </c>
      <c r="L8">
        <f t="shared" si="2"/>
        <v>0.3108860043489698</v>
      </c>
      <c r="M8" s="4">
        <f t="shared" si="3"/>
        <v>1.36463365001776</v>
      </c>
      <c r="O8">
        <f>Viscosity!E23</f>
        <v>6.256954450855625</v>
      </c>
      <c r="P8">
        <f t="shared" si="4"/>
        <v>1.6217742010846647</v>
      </c>
      <c r="Q8" s="4">
        <f t="shared" si="5"/>
        <v>5.0620634726222296</v>
      </c>
      <c r="S8">
        <f>Viscosity!Z43</f>
        <v>0.4975470669169013</v>
      </c>
      <c r="T8">
        <f t="shared" si="6"/>
        <v>0.5237839999917744</v>
      </c>
      <c r="U8" s="4">
        <f t="shared" si="7"/>
        <v>1.6884044997027006</v>
      </c>
      <c r="W8">
        <f>Viscosity!AC43</f>
        <v>0.4360752167164692</v>
      </c>
      <c r="X8">
        <f t="shared" si="8"/>
        <v>0.8908550319158436</v>
      </c>
      <c r="Y8" s="4">
        <f t="shared" si="9"/>
        <v>2.437212655251475</v>
      </c>
      <c r="AA8">
        <f>Viscosity!E111</f>
        <v>1.6580028908382403</v>
      </c>
      <c r="AB8">
        <f t="shared" si="10"/>
        <v>-0.4962828815941431</v>
      </c>
      <c r="AC8" s="4">
        <f t="shared" si="11"/>
        <v>0.6087894013959639</v>
      </c>
    </row>
    <row r="9" spans="2:29" ht="12.75">
      <c r="B9" t="s">
        <v>5</v>
      </c>
      <c r="C9">
        <f>'Comp''n'!J9</f>
        <v>0.00688616223436788</v>
      </c>
      <c r="F9" s="7">
        <f>'Comp''n'!B52</f>
        <v>1973</v>
      </c>
      <c r="G9">
        <f>Viscosity!G8</f>
        <v>0.3913833236045588</v>
      </c>
      <c r="H9">
        <f t="shared" si="0"/>
        <v>0.7271761287862959</v>
      </c>
      <c r="I9" s="4">
        <f t="shared" si="1"/>
        <v>2.0692291131019744</v>
      </c>
      <c r="K9">
        <f>Viscosity!L24</f>
        <v>0.6184405289976573</v>
      </c>
      <c r="L9">
        <f t="shared" si="2"/>
        <v>0.5732311321580446</v>
      </c>
      <c r="M9" s="4">
        <f t="shared" si="3"/>
        <v>1.7739897964614892</v>
      </c>
      <c r="O9">
        <f>Viscosity!E24</f>
        <v>3.7780241880600647</v>
      </c>
      <c r="P9">
        <f t="shared" si="4"/>
        <v>1.1942382808508443</v>
      </c>
      <c r="Q9" s="4">
        <f t="shared" si="5"/>
        <v>3.301042345432884</v>
      </c>
      <c r="S9">
        <f>Viscosity!Z44</f>
        <v>0.32582970136919415</v>
      </c>
      <c r="T9">
        <f t="shared" si="6"/>
        <v>0.8825257818185263</v>
      </c>
      <c r="U9" s="4">
        <f t="shared" si="7"/>
        <v>2.41699680979699</v>
      </c>
      <c r="W9">
        <f>Viscosity!AC44</f>
        <v>0.31389942627169465</v>
      </c>
      <c r="X9">
        <f t="shared" si="8"/>
        <v>1.189711493525628</v>
      </c>
      <c r="Y9" s="4">
        <f t="shared" si="9"/>
        <v>3.2861329999615694</v>
      </c>
      <c r="AA9">
        <f>Viscosity!E112</f>
        <v>1.0608647883189404</v>
      </c>
      <c r="AB9">
        <f t="shared" si="10"/>
        <v>-0.11786814707267391</v>
      </c>
      <c r="AC9" s="4">
        <f t="shared" si="11"/>
        <v>0.8888132375160741</v>
      </c>
    </row>
    <row r="10" spans="2:29" ht="12.75">
      <c r="B10" t="s">
        <v>8</v>
      </c>
      <c r="C10">
        <f>'Comp''n'!J10</f>
        <v>0</v>
      </c>
      <c r="F10" s="7">
        <f>'Comp''n'!B53</f>
        <v>2023</v>
      </c>
      <c r="G10">
        <f>Viscosity!G9</f>
        <v>0.32440151607232387</v>
      </c>
      <c r="H10">
        <f t="shared" si="0"/>
        <v>0.886248545157579</v>
      </c>
      <c r="I10" s="4">
        <f t="shared" si="1"/>
        <v>2.42601148625345</v>
      </c>
      <c r="S10">
        <f>Viscosity!Z45</f>
        <v>0.27105401053334255</v>
      </c>
      <c r="T10">
        <f t="shared" si="6"/>
        <v>1.0385060822874337</v>
      </c>
      <c r="U10" s="4">
        <f t="shared" si="7"/>
        <v>2.824993552478866</v>
      </c>
      <c r="AA10">
        <f>Viscosity!E113</f>
        <v>0.8635719741423821</v>
      </c>
      <c r="AB10">
        <f t="shared" si="10"/>
        <v>0.056506807819932545</v>
      </c>
      <c r="AC10" s="4">
        <f t="shared" si="11"/>
        <v>1.0581338183602056</v>
      </c>
    </row>
    <row r="11" spans="2:6" ht="12.75">
      <c r="B11" t="s">
        <v>6</v>
      </c>
      <c r="C11">
        <f>'Comp''n'!J11</f>
        <v>0</v>
      </c>
      <c r="F11" s="7"/>
    </row>
    <row r="12" spans="2:29" ht="12.75">
      <c r="B12" t="s">
        <v>7</v>
      </c>
      <c r="C12">
        <f>'Comp''n'!J12</f>
        <v>0</v>
      </c>
      <c r="F12" s="7">
        <f>F4</f>
        <v>1473</v>
      </c>
      <c r="G12">
        <f>G4</f>
        <v>5.42658538849298</v>
      </c>
      <c r="H12">
        <f>(B33-LN(G12))/B34</f>
        <v>-0.13907981605270384</v>
      </c>
      <c r="I12">
        <f>EXP(H12)</f>
        <v>0.8701585730639324</v>
      </c>
      <c r="S12">
        <f aca="true" t="shared" si="12" ref="S12:S18">S4</f>
        <v>5.871388425043166</v>
      </c>
      <c r="T12">
        <f>(B33-LN(S12))/B34</f>
        <v>-0.18550368692053915</v>
      </c>
      <c r="U12">
        <f aca="true" t="shared" si="13" ref="U12:U18">EXP(T12)</f>
        <v>0.830685772902839</v>
      </c>
      <c r="AA12">
        <f aca="true" t="shared" si="14" ref="AA12:AA18">AA4</f>
        <v>18.848906173204952</v>
      </c>
      <c r="AB12">
        <f>(B33-LN(AA12))/B34</f>
        <v>-0.8728152491771464</v>
      </c>
      <c r="AC12">
        <f aca="true" t="shared" si="15" ref="AC12:AC18">EXP(AB12)</f>
        <v>0.4177737549135169</v>
      </c>
    </row>
    <row r="13" spans="2:29" ht="12.75">
      <c r="B13" t="s">
        <v>118</v>
      </c>
      <c r="C13">
        <f>'Comp''n'!J13</f>
        <v>0.10242260249644017</v>
      </c>
      <c r="F13" s="7">
        <f aca="true" t="shared" si="16" ref="F13:G18">F5</f>
        <v>1573</v>
      </c>
      <c r="G13">
        <f t="shared" si="16"/>
        <v>2.7845273238324384</v>
      </c>
      <c r="H13">
        <f>(B33-LN(G13))/B34</f>
        <v>0.2541047623111012</v>
      </c>
      <c r="I13">
        <f>EXP(H13)</f>
        <v>1.2893068679600945</v>
      </c>
      <c r="S13">
        <f t="shared" si="12"/>
        <v>2.822361034394221</v>
      </c>
      <c r="T13">
        <f>(B33-LN(S13))/B34</f>
        <v>0.2461520869913838</v>
      </c>
      <c r="U13">
        <f t="shared" si="13"/>
        <v>1.2790940923216734</v>
      </c>
      <c r="AA13">
        <f t="shared" si="14"/>
        <v>9.08851888000792</v>
      </c>
      <c r="AB13">
        <f>(B33-LN(AA13))/B34</f>
        <v>-0.44297116387530133</v>
      </c>
      <c r="AC13">
        <f t="shared" si="15"/>
        <v>0.6421257232382545</v>
      </c>
    </row>
    <row r="14" spans="2:29" ht="12.75">
      <c r="B14" t="s">
        <v>9</v>
      </c>
      <c r="C14">
        <f>'Comp''n'!J14</f>
        <v>0</v>
      </c>
      <c r="F14" s="7">
        <f t="shared" si="16"/>
        <v>1673</v>
      </c>
      <c r="G14">
        <f t="shared" si="16"/>
        <v>1.553349240030372</v>
      </c>
      <c r="H14">
        <f>(B33-LN(G14))/B34</f>
        <v>0.5980450832062787</v>
      </c>
      <c r="I14">
        <f>EXP(H14)</f>
        <v>1.8185601892751146</v>
      </c>
      <c r="S14">
        <f t="shared" si="12"/>
        <v>1.4624607037996415</v>
      </c>
      <c r="T14">
        <f>(B33-LN(S14))/B34</f>
        <v>0.6335743551713264</v>
      </c>
      <c r="U14">
        <f t="shared" si="13"/>
        <v>1.8843338348417116</v>
      </c>
      <c r="AA14">
        <f t="shared" si="14"/>
        <v>4.799795451313814</v>
      </c>
      <c r="AB14">
        <f>(B33-LN(AA14))/B34</f>
        <v>-0.06675382342260176</v>
      </c>
      <c r="AC14">
        <f t="shared" si="15"/>
        <v>0.9354254528307404</v>
      </c>
    </row>
    <row r="15" spans="2:29" ht="12.75">
      <c r="B15" t="s">
        <v>10</v>
      </c>
      <c r="C15">
        <f>'Comp''n'!J15</f>
        <v>0</v>
      </c>
      <c r="F15" s="7">
        <f t="shared" si="16"/>
        <v>1773</v>
      </c>
      <c r="G15">
        <f t="shared" si="16"/>
        <v>0.9286356461064101</v>
      </c>
      <c r="H15">
        <f>(B33-LN(G15))/B34</f>
        <v>0.9012000441978059</v>
      </c>
      <c r="I15">
        <f>EXP(H15)</f>
        <v>2.4625565153527487</v>
      </c>
      <c r="S15">
        <f t="shared" si="12"/>
        <v>0.8200868915921387</v>
      </c>
      <c r="T15">
        <f>(B33-LN(S15))/B34</f>
        <v>0.974450830922463</v>
      </c>
      <c r="U15">
        <f t="shared" si="13"/>
        <v>2.649711671636136</v>
      </c>
      <c r="AA15">
        <f t="shared" si="14"/>
        <v>2.733344198719221</v>
      </c>
      <c r="AB15">
        <f>(B33-LN(AA15))/B34</f>
        <v>0.2650372073737659</v>
      </c>
      <c r="AC15">
        <f t="shared" si="15"/>
        <v>1.3034794739241014</v>
      </c>
    </row>
    <row r="16" spans="2:29" ht="12.75">
      <c r="B16" t="s">
        <v>11</v>
      </c>
      <c r="C16">
        <f>'Comp''n'!J16</f>
        <v>0.009293359347814532</v>
      </c>
      <c r="F16" s="7">
        <f t="shared" si="16"/>
        <v>1873</v>
      </c>
      <c r="G16">
        <f t="shared" si="16"/>
        <v>0.5882844788965207</v>
      </c>
      <c r="H16">
        <f>(B33-LN(G16))/B34</f>
        <v>1.1702085166414098</v>
      </c>
      <c r="I16">
        <f>EXP(H16)</f>
        <v>3.2226645476618163</v>
      </c>
      <c r="S16">
        <f t="shared" si="12"/>
        <v>0.4975470669169013</v>
      </c>
      <c r="T16">
        <f>(B33-LN(S16))/B34</f>
        <v>1.2689245154633704</v>
      </c>
      <c r="U16">
        <f t="shared" si="13"/>
        <v>3.5570249791097224</v>
      </c>
      <c r="AA16">
        <f t="shared" si="14"/>
        <v>1.6580028908382403</v>
      </c>
      <c r="AB16">
        <f>(B33-LN(AA16))/B34</f>
        <v>0.5596239738822373</v>
      </c>
      <c r="AC16">
        <f t="shared" si="15"/>
        <v>1.7500143254655591</v>
      </c>
    </row>
    <row r="17" spans="2:29" ht="12.75">
      <c r="B17" t="s">
        <v>99</v>
      </c>
      <c r="C17">
        <f>'Comp''n'!J17</f>
        <v>0.004267608437351673</v>
      </c>
      <c r="F17" s="7">
        <f t="shared" si="16"/>
        <v>1973</v>
      </c>
      <c r="G17">
        <f t="shared" si="16"/>
        <v>0.3913833236045588</v>
      </c>
      <c r="H17">
        <f>(B33-LN(G17))/B34</f>
        <v>1.4103526411201903</v>
      </c>
      <c r="I17">
        <f>EXP(H18)</f>
        <v>4.576631208777785</v>
      </c>
      <c r="S17">
        <f t="shared" si="12"/>
        <v>0.32582970136919415</v>
      </c>
      <c r="T17">
        <f>(B33-LN(S17))/B34</f>
        <v>1.518374570877275</v>
      </c>
      <c r="U17">
        <f t="shared" si="13"/>
        <v>4.564799403837964</v>
      </c>
      <c r="AA17">
        <f t="shared" si="14"/>
        <v>1.0608647883189404</v>
      </c>
      <c r="AB17">
        <f>(B33-LN(AA17))/B34</f>
        <v>0.8227535597786612</v>
      </c>
      <c r="AC17">
        <f t="shared" si="15"/>
        <v>2.2767604100371264</v>
      </c>
    </row>
    <row r="18" spans="2:29" ht="12.75">
      <c r="B18" t="s">
        <v>100</v>
      </c>
      <c r="C18">
        <f>'Comp''n'!J18</f>
        <v>0</v>
      </c>
      <c r="F18" s="7">
        <f t="shared" si="16"/>
        <v>2023</v>
      </c>
      <c r="G18">
        <f t="shared" si="16"/>
        <v>0.32440151607232387</v>
      </c>
      <c r="H18">
        <f>(B33-LN(G18))/B34</f>
        <v>1.5209631835459496</v>
      </c>
      <c r="I18">
        <f>EXP(H18)</f>
        <v>4.576631208777785</v>
      </c>
      <c r="S18">
        <f t="shared" si="12"/>
        <v>0.27105401053334255</v>
      </c>
      <c r="T18">
        <f>(B33-LN(S18))/B34</f>
        <v>1.6268350194966583</v>
      </c>
      <c r="U18">
        <f t="shared" si="13"/>
        <v>5.087746590629338</v>
      </c>
      <c r="AA18">
        <f t="shared" si="14"/>
        <v>0.8635719741423821</v>
      </c>
      <c r="AB18">
        <f>(B33-LN(AA18))/B34</f>
        <v>0.9440046778928157</v>
      </c>
      <c r="AC18">
        <f t="shared" si="15"/>
        <v>2.5702538745317445</v>
      </c>
    </row>
    <row r="19" spans="2:3" ht="12.75">
      <c r="B19" t="s">
        <v>101</v>
      </c>
      <c r="C19">
        <f>'Comp''n'!J19</f>
        <v>0</v>
      </c>
    </row>
    <row r="20" spans="2:3" ht="12.75">
      <c r="B20" t="s">
        <v>115</v>
      </c>
      <c r="C20">
        <f>'Comp''n'!J20</f>
        <v>0.00406184397293334</v>
      </c>
    </row>
    <row r="21" spans="2:3" ht="12.75">
      <c r="B21" t="s">
        <v>190</v>
      </c>
      <c r="C21">
        <f>'Comp''n'!J21</f>
        <v>0</v>
      </c>
    </row>
    <row r="22" spans="2:3" ht="12.75">
      <c r="B22" t="s">
        <v>267</v>
      </c>
      <c r="C22">
        <f>'Comp''n'!J22</f>
        <v>0</v>
      </c>
    </row>
    <row r="23" spans="2:3" ht="12.75">
      <c r="B23" t="s">
        <v>13</v>
      </c>
      <c r="C23">
        <f>'Comp''n'!J23</f>
        <v>0</v>
      </c>
    </row>
    <row r="24" ht="12.75">
      <c r="C24">
        <f>SUM(C4:C23)</f>
        <v>0.9999999999999999</v>
      </c>
    </row>
    <row r="26" spans="1:2" ht="12.75">
      <c r="A26" t="s">
        <v>192</v>
      </c>
      <c r="B26">
        <f>'Comp''n'!Z4</f>
        <v>0.6961738733394359</v>
      </c>
    </row>
    <row r="27" spans="1:2" ht="12.75">
      <c r="A27" t="s">
        <v>226</v>
      </c>
      <c r="B27">
        <f>C5+C7+2*(C8+C9+C10)+C11+C12+C13+C18+C19+C21+C22+0.5*(C14+C15)+0.6667*(C17+C20)</f>
        <v>0.6612297852005325</v>
      </c>
    </row>
    <row r="28" spans="1:2" ht="12.75">
      <c r="A28" t="s">
        <v>227</v>
      </c>
      <c r="B28">
        <f>C6+C13</f>
        <v>0.14061748860894974</v>
      </c>
    </row>
    <row r="29" spans="1:2" ht="12.75">
      <c r="A29" t="s">
        <v>228</v>
      </c>
      <c r="B29">
        <f>B27-B28</f>
        <v>0.5206122965915828</v>
      </c>
    </row>
    <row r="30" spans="1:2" ht="15.75">
      <c r="A30" t="s">
        <v>268</v>
      </c>
      <c r="B30" s="8">
        <f>2*(C8+C9+C10)</f>
        <v>0.2230228026872694</v>
      </c>
    </row>
    <row r="31" spans="1:2" ht="12.75">
      <c r="A31" t="s">
        <v>269</v>
      </c>
      <c r="B31">
        <f>B30/B27</f>
        <v>0.3372848708254012</v>
      </c>
    </row>
    <row r="32" ht="15.75">
      <c r="A32" s="8" t="s">
        <v>272</v>
      </c>
    </row>
    <row r="33" spans="1:2" ht="12.75">
      <c r="A33" t="s">
        <v>270</v>
      </c>
      <c r="B33">
        <f>0.15+(B31*3.87)</f>
        <v>1.4552924500943025</v>
      </c>
    </row>
    <row r="34" spans="1:2" ht="12.75">
      <c r="A34" t="s">
        <v>271</v>
      </c>
      <c r="B34">
        <f>1.1+1.77*B31</f>
        <v>1.6969942213609603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42"/>
  <sheetViews>
    <sheetView workbookViewId="0" topLeftCell="C1">
      <selection activeCell="D8" sqref="D8"/>
    </sheetView>
  </sheetViews>
  <sheetFormatPr defaultColWidth="9.140625" defaultRowHeight="12.75"/>
  <cols>
    <col min="2" max="2" width="12.421875" style="0" bestFit="1" customWidth="1"/>
    <col min="11" max="11" width="13.140625" style="0" bestFit="1" customWidth="1"/>
  </cols>
  <sheetData>
    <row r="3" spans="4:10" ht="12.75">
      <c r="D3" s="4" t="s">
        <v>72</v>
      </c>
      <c r="E3" s="24"/>
      <c r="F3" s="24"/>
      <c r="G3" s="24"/>
      <c r="H3" s="24"/>
      <c r="I3" s="7" t="s">
        <v>104</v>
      </c>
      <c r="J3" s="7">
        <f>'Comp''n'!P4</f>
        <v>2.1890725348892905</v>
      </c>
    </row>
    <row r="5" spans="2:4" ht="12.75">
      <c r="B5" s="1" t="s">
        <v>73</v>
      </c>
      <c r="D5">
        <f>C5/100</f>
        <v>0</v>
      </c>
    </row>
    <row r="6" spans="1:15" ht="12.75">
      <c r="A6" t="s">
        <v>38</v>
      </c>
      <c r="B6" t="s">
        <v>252</v>
      </c>
      <c r="C6" t="s">
        <v>253</v>
      </c>
      <c r="D6" t="s">
        <v>254</v>
      </c>
      <c r="H6" t="s">
        <v>253</v>
      </c>
      <c r="I6" t="s">
        <v>254</v>
      </c>
      <c r="J6" t="s">
        <v>261</v>
      </c>
      <c r="K6" s="1" t="s">
        <v>75</v>
      </c>
      <c r="O6" s="1"/>
    </row>
    <row r="8" spans="1:10" ht="12.75">
      <c r="A8" s="7">
        <f>'Comp''n'!B47</f>
        <v>1473</v>
      </c>
      <c r="B8">
        <f>Viscosity!G3</f>
        <v>5.42658538849298</v>
      </c>
      <c r="C8">
        <f>-2.178+(0.2821*LN(B8))</f>
        <v>-1.700881422413856</v>
      </c>
      <c r="D8">
        <f>EXP(C8)</f>
        <v>0.18252257364306196</v>
      </c>
      <c r="H8">
        <f>-1.914+0.00037*EXP(J3/0.402)</f>
        <v>-1.8282700882286196</v>
      </c>
      <c r="I8">
        <f>EXP(H8)</f>
        <v>0.1606913092592235</v>
      </c>
      <c r="J8">
        <f>5*10^-4*EXP(J3*0.5551)</f>
        <v>0.001685406841391224</v>
      </c>
    </row>
    <row r="9" spans="1:9" ht="12.75">
      <c r="A9" s="7">
        <f>'Comp''n'!B48</f>
        <v>1573</v>
      </c>
      <c r="B9">
        <f>Viscosity!G4</f>
        <v>2.7845273238324384</v>
      </c>
      <c r="C9">
        <f aca="true" t="shared" si="0" ref="C9:C14">-2.178+(0.2821*LN(B9))</f>
        <v>-1.8891075575996747</v>
      </c>
      <c r="D9">
        <f aca="true" t="shared" si="1" ref="D9:D14">EXP(C9)</f>
        <v>0.1512066919028017</v>
      </c>
      <c r="I9">
        <f>I8-J8*(A9-A8)</f>
        <v>-0.007849374879898896</v>
      </c>
    </row>
    <row r="10" spans="1:11" ht="15.75">
      <c r="A10" s="7">
        <f>'Comp''n'!B49</f>
        <v>1673</v>
      </c>
      <c r="B10">
        <f>Viscosity!G5</f>
        <v>1.553349240030372</v>
      </c>
      <c r="C10">
        <f t="shared" si="0"/>
        <v>-2.0537593799220866</v>
      </c>
      <c r="D10">
        <f t="shared" si="1"/>
        <v>0.12825184873825102</v>
      </c>
      <c r="I10">
        <f>I8-J8*(A10-A8)</f>
        <v>-0.1763900590190213</v>
      </c>
      <c r="K10" s="8"/>
    </row>
    <row r="11" spans="1:9" ht="12.75">
      <c r="A11" s="7">
        <f>'Comp''n'!B50</f>
        <v>1773</v>
      </c>
      <c r="B11">
        <f>Viscosity!G6</f>
        <v>0.9286356461064101</v>
      </c>
      <c r="C11">
        <f t="shared" si="0"/>
        <v>-2.1988863503320117</v>
      </c>
      <c r="D11">
        <f t="shared" si="1"/>
        <v>0.11092662299827133</v>
      </c>
      <c r="E11" s="7"/>
      <c r="I11">
        <f>I8-J8*(A11-A8)</f>
        <v>-0.34493074315814376</v>
      </c>
    </row>
    <row r="12" spans="1:9" ht="12.75">
      <c r="A12" s="7">
        <f>'Comp''n'!B51</f>
        <v>1873</v>
      </c>
      <c r="B12">
        <f>Viscosity!G7</f>
        <v>0.5882844788965207</v>
      </c>
      <c r="C12">
        <f t="shared" si="0"/>
        <v>-2.327666643066305</v>
      </c>
      <c r="D12">
        <f t="shared" si="1"/>
        <v>0.0975230378677551</v>
      </c>
      <c r="E12" s="7"/>
      <c r="I12">
        <f>I8-J8*(A12-A8)</f>
        <v>-0.5134714272972661</v>
      </c>
    </row>
    <row r="13" spans="1:9" ht="12.75">
      <c r="A13" s="7">
        <f>'Comp''n'!B52</f>
        <v>1973</v>
      </c>
      <c r="B13">
        <f>Viscosity!G8</f>
        <v>0.3913833236045588</v>
      </c>
      <c r="C13">
        <f t="shared" si="0"/>
        <v>-2.4426289353981243</v>
      </c>
      <c r="D13">
        <f t="shared" si="1"/>
        <v>0.08693201214792694</v>
      </c>
      <c r="E13" s="7"/>
      <c r="I13">
        <f>I8-J8*(A13-A8)</f>
        <v>-0.6820121114363885</v>
      </c>
    </row>
    <row r="14" spans="1:9" ht="12.75">
      <c r="A14" s="7">
        <f>'Comp''n'!B53</f>
        <v>2023</v>
      </c>
      <c r="B14">
        <f>Viscosity!G9</f>
        <v>0.32440151607232387</v>
      </c>
      <c r="C14">
        <f t="shared" si="0"/>
        <v>-2.4955806432149643</v>
      </c>
      <c r="D14">
        <f t="shared" si="1"/>
        <v>0.08244856429099123</v>
      </c>
      <c r="E14" s="7"/>
      <c r="I14">
        <f>I8-J8*(A14-A8)</f>
        <v>-0.7662824535059497</v>
      </c>
    </row>
    <row r="15" ht="12.75">
      <c r="E15" s="7"/>
    </row>
    <row r="21" spans="4:8" ht="12.75">
      <c r="D21" s="4" t="s">
        <v>76</v>
      </c>
      <c r="E21" s="24"/>
      <c r="F21" s="24"/>
      <c r="G21" s="24"/>
      <c r="H21" s="24"/>
    </row>
    <row r="23" spans="6:14" ht="15.75">
      <c r="F23" s="25" t="s">
        <v>265</v>
      </c>
      <c r="N23" s="7" t="s">
        <v>266</v>
      </c>
    </row>
    <row r="24" spans="1:2" ht="12.75">
      <c r="A24" t="s">
        <v>77</v>
      </c>
      <c r="B24">
        <f>4*10^-7</f>
        <v>4E-07</v>
      </c>
    </row>
    <row r="25" spans="1:11" ht="12.75">
      <c r="A25" t="s">
        <v>78</v>
      </c>
      <c r="B25">
        <v>7E-07</v>
      </c>
      <c r="D25" t="s">
        <v>55</v>
      </c>
      <c r="E25" t="s">
        <v>74</v>
      </c>
      <c r="F25" t="s">
        <v>91</v>
      </c>
      <c r="G25" t="s">
        <v>92</v>
      </c>
      <c r="I25" t="s">
        <v>262</v>
      </c>
      <c r="J25" t="s">
        <v>263</v>
      </c>
      <c r="K25" t="s">
        <v>264</v>
      </c>
    </row>
    <row r="26" spans="1:2" ht="12.75">
      <c r="A26" t="s">
        <v>79</v>
      </c>
      <c r="B26">
        <f>10^-7*(4+'Electrical cond'!D5*4)</f>
        <v>4E-07</v>
      </c>
    </row>
    <row r="27" spans="4:14" ht="12.75">
      <c r="D27" s="7">
        <f>'Comp''n'!B32</f>
        <v>298</v>
      </c>
      <c r="E27">
        <f>'Cp,enthalpy'!F8</f>
        <v>846.4762304370704</v>
      </c>
      <c r="F27">
        <f>Density!G25</f>
        <v>2840.703415393553</v>
      </c>
      <c r="G27">
        <f>B26*E27*F27</f>
        <v>0.9618351675408183</v>
      </c>
      <c r="I27">
        <f>-0.424+2*10^-5*EXP(J3/0.299)+3.2*'Comp''n'!J10</f>
        <v>-0.3937562418726246</v>
      </c>
      <c r="J27">
        <f>EXP(I27)</f>
        <v>0.6745184555584023</v>
      </c>
      <c r="K27">
        <f>(J33-J27)/(D33-298)</f>
        <v>-6.974982381316907E-06</v>
      </c>
      <c r="N27">
        <f>2*G27</f>
        <v>1.9236703350816367</v>
      </c>
    </row>
    <row r="28" spans="4:14" ht="12.75">
      <c r="D28" s="7">
        <f>'Comp''n'!B33</f>
        <v>400</v>
      </c>
      <c r="E28">
        <f>'Cp,enthalpy'!F9</f>
        <v>943.5414621796097</v>
      </c>
      <c r="F28">
        <f>Density!G26</f>
        <v>2832.8944598151847</v>
      </c>
      <c r="G28">
        <f>E28*F28*B26</f>
        <v>1.069181352325814</v>
      </c>
      <c r="J28">
        <f>J27+K27*(D28-298)</f>
        <v>0.6738070073555079</v>
      </c>
      <c r="N28">
        <f>N27</f>
        <v>1.9236703350816367</v>
      </c>
    </row>
    <row r="29" spans="4:14" ht="12.75">
      <c r="D29" s="7">
        <f>'Comp''n'!B34</f>
        <v>500</v>
      </c>
      <c r="E29">
        <f>'Cp,enthalpy'!F10</f>
        <v>999.2777593629661</v>
      </c>
      <c r="F29">
        <f>Density!G27</f>
        <v>2825.2663820027115</v>
      </c>
      <c r="G29">
        <f>E29*F29*B26</f>
        <v>1.1292903439244735</v>
      </c>
      <c r="J29">
        <f>J27+K27*(D29-298)</f>
        <v>0.6731095091173763</v>
      </c>
      <c r="N29">
        <f>N27</f>
        <v>1.9236703350816367</v>
      </c>
    </row>
    <row r="30" spans="4:14" ht="12.75">
      <c r="D30" s="7">
        <f>'Comp''n'!B35</f>
        <v>600</v>
      </c>
      <c r="E30">
        <f>'Cp,enthalpy'!F11</f>
        <v>1039.7949793912458</v>
      </c>
      <c r="F30">
        <f>Density!G28</f>
        <v>2817.665666255975</v>
      </c>
      <c r="G30">
        <f>E30*F30*B26</f>
        <v>1.1719178453504209</v>
      </c>
      <c r="J30">
        <f>J27+K27*(D30-298)</f>
        <v>0.6724120108792446</v>
      </c>
      <c r="N30">
        <f>N27</f>
        <v>1.9236703350816367</v>
      </c>
    </row>
    <row r="31" spans="4:14" ht="12.75">
      <c r="D31" s="7">
        <f>'Comp''n'!B36</f>
        <v>700</v>
      </c>
      <c r="E31">
        <f>'Cp,enthalpy'!F12</f>
        <v>1073.1265788763676</v>
      </c>
      <c r="F31">
        <f>Density!G29</f>
        <v>2810.0921899995724</v>
      </c>
      <c r="G31">
        <f>E31*F31*B26</f>
        <v>1.2062338472725762</v>
      </c>
      <c r="J31">
        <f>J27+K27*(D31-298)</f>
        <v>0.6717145126411129</v>
      </c>
      <c r="N31">
        <f>N27</f>
        <v>1.9236703350816367</v>
      </c>
    </row>
    <row r="32" spans="4:14" ht="12.75">
      <c r="D32" s="7">
        <f>'Comp''n'!B37</f>
        <v>900</v>
      </c>
      <c r="E32">
        <f>'Cp,enthalpy'!F13</f>
        <v>1129.9030206091402</v>
      </c>
      <c r="F32">
        <f>Density!G30</f>
        <v>2802.5458313164413</v>
      </c>
      <c r="G32">
        <f>E32*F32*B26</f>
        <v>1.2666420000800003</v>
      </c>
      <c r="J32">
        <f>J27+K27*(D32-298)</f>
        <v>0.6703195161648495</v>
      </c>
      <c r="N32">
        <f>N27</f>
        <v>1.9236703350816367</v>
      </c>
    </row>
    <row r="33" spans="4:11" ht="12.75">
      <c r="D33" s="7">
        <f>'Comp''n'!B38</f>
        <v>753.7369293120884</v>
      </c>
      <c r="E33">
        <f>'Cp,enthalpy'!F14</f>
        <v>1089.3291776829785</v>
      </c>
      <c r="F33">
        <f>Density!G31</f>
        <v>2795.0264689437413</v>
      </c>
      <c r="G33">
        <f>E33*F33*B26</f>
        <v>1.2178815540066579</v>
      </c>
      <c r="I33">
        <f>-0.435+5*10^-5*EXP(J3/0.332)+3*'Comp''n'!J10</f>
        <v>-0.398480013027509</v>
      </c>
      <c r="J33">
        <f>EXP(I33)</f>
        <v>0.671339698505935</v>
      </c>
      <c r="K33">
        <f>(J40-J33)/(D40-D33)</f>
        <v>-0.0007099605277361472</v>
      </c>
    </row>
    <row r="34" spans="4:10" ht="12.75">
      <c r="D34" s="7">
        <f>'Comp''n'!B39</f>
        <v>753.7369293120884</v>
      </c>
      <c r="E34">
        <f>'Cp,enthalpy'!F15</f>
        <v>1389.3291776829785</v>
      </c>
      <c r="F34">
        <f>Density!G32</f>
        <v>2787.533982268752</v>
      </c>
      <c r="G34">
        <f>E34*F34*B26</f>
        <v>1.5491209181395214</v>
      </c>
      <c r="J34">
        <f>J33+K33*(D34-D33)</f>
        <v>0.671339698505935</v>
      </c>
    </row>
    <row r="35" spans="4:10" ht="12.75">
      <c r="D35" s="7">
        <f>'Comp''n'!B40</f>
        <v>1200</v>
      </c>
      <c r="G35">
        <f>E35*F35*B26</f>
        <v>0</v>
      </c>
      <c r="J35">
        <f>J33+K33*(D35-D33)</f>
        <v>0.35451053333119165</v>
      </c>
    </row>
    <row r="36" spans="4:10" ht="12.75">
      <c r="D36" s="7">
        <f>'Comp''n'!B41</f>
        <v>1300</v>
      </c>
      <c r="E36">
        <f>'Cp,enthalpy'!F16</f>
        <v>1659.3363865562471</v>
      </c>
      <c r="G36">
        <f>E36*F36*B26</f>
        <v>0</v>
      </c>
      <c r="J36">
        <f>J33+K33*(D36-D33)</f>
        <v>0.28351448055757694</v>
      </c>
    </row>
    <row r="37" spans="4:10" ht="12.75">
      <c r="D37" s="7">
        <f>'Comp''n'!B42</f>
        <v>1400</v>
      </c>
      <c r="E37">
        <f>'Cp,enthalpy'!F17</f>
        <v>1719.840431503783</v>
      </c>
      <c r="G37">
        <f>E37*F37*B26</f>
        <v>0</v>
      </c>
      <c r="J37">
        <f>J33+K33*(D37-D33)</f>
        <v>0.21251842778396224</v>
      </c>
    </row>
    <row r="38" spans="4:10" ht="12.75">
      <c r="D38" s="7">
        <f>'Comp''n'!B43</f>
        <v>1600</v>
      </c>
      <c r="J38">
        <f>J33+K33*(D38-D33)</f>
        <v>0.07052632223673272</v>
      </c>
    </row>
    <row r="39" spans="4:10" ht="12.75">
      <c r="D39" s="7">
        <f>'Comp''n'!B44</f>
        <v>1700</v>
      </c>
      <c r="I39">
        <f>I7</f>
        <v>0</v>
      </c>
      <c r="J39">
        <f>J33+K33*(D39-D33)</f>
        <v>-0.00046973053688192934</v>
      </c>
    </row>
    <row r="40" spans="4:10" ht="12.75">
      <c r="D40" s="7">
        <f>'Comp''n'!B45</f>
        <v>1473</v>
      </c>
      <c r="I40">
        <f>H8</f>
        <v>-1.8282700882286196</v>
      </c>
      <c r="J40">
        <f>EXP(I40)</f>
        <v>0.1606913092592235</v>
      </c>
    </row>
    <row r="41" ht="12.75">
      <c r="D41" s="7"/>
    </row>
    <row r="42" ht="12.75">
      <c r="D42" s="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26"/>
  <sheetViews>
    <sheetView workbookViewId="0" topLeftCell="G1">
      <selection activeCell="H39" sqref="H39"/>
    </sheetView>
  </sheetViews>
  <sheetFormatPr defaultColWidth="9.140625" defaultRowHeight="12.75"/>
  <cols>
    <col min="1" max="1" width="17.28125" style="0" bestFit="1" customWidth="1"/>
    <col min="2" max="2" width="12.421875" style="0" bestFit="1" customWidth="1"/>
    <col min="5" max="5" width="12.57421875" style="0" bestFit="1" customWidth="1"/>
    <col min="6" max="6" width="12.421875" style="0" bestFit="1" customWidth="1"/>
    <col min="9" max="9" width="12.421875" style="0" bestFit="1" customWidth="1"/>
    <col min="21" max="21" width="17.28125" style="0" bestFit="1" customWidth="1"/>
    <col min="24" max="24" width="11.421875" style="0" bestFit="1" customWidth="1"/>
    <col min="25" max="25" width="12.421875" style="0" bestFit="1" customWidth="1"/>
    <col min="28" max="28" width="12.421875" style="0" bestFit="1" customWidth="1"/>
  </cols>
  <sheetData>
    <row r="1" spans="1:8" ht="12.75">
      <c r="A1" s="4" t="s">
        <v>35</v>
      </c>
      <c r="B1" s="4"/>
      <c r="C1" s="1"/>
      <c r="G1" t="s">
        <v>37</v>
      </c>
      <c r="H1" t="s">
        <v>90</v>
      </c>
    </row>
    <row r="2" spans="1:21" ht="18.75">
      <c r="A2" t="s">
        <v>36</v>
      </c>
      <c r="B2">
        <f>'Comp''n'!J4+'Comp''n'!J14+'Comp''n'!J15</f>
        <v>0.4000171641944302</v>
      </c>
      <c r="D2" t="s">
        <v>38</v>
      </c>
      <c r="G2" t="s">
        <v>89</v>
      </c>
      <c r="H2" t="s">
        <v>40</v>
      </c>
      <c r="U2" s="2" t="s">
        <v>80</v>
      </c>
    </row>
    <row r="3" spans="1:21" ht="18.75">
      <c r="A3" t="s">
        <v>32</v>
      </c>
      <c r="B3">
        <f>'Comp''n'!J5+'Comp''n'!J7+'Comp''n'!J11+'Comp''n'!J12+'Comp''n'!J16+'Comp''n'!J17+'Comp''n'!J18+'Comp''n'!J19+'Comp''n'!J20+'Comp''n'!J21</f>
        <v>0.34785394585298546</v>
      </c>
      <c r="D3" s="7">
        <f aca="true" t="shared" si="0" ref="D3:D8">D19</f>
        <v>1473</v>
      </c>
      <c r="E3">
        <f>D3*B7</f>
        <v>5.341335017371437E-05</v>
      </c>
      <c r="F3">
        <f>EXP(B8/D3)</f>
        <v>101596.04987974516</v>
      </c>
      <c r="G3" s="4">
        <f aca="true" t="shared" si="1" ref="G3:G9">E3*F3</f>
        <v>5.42658538849298</v>
      </c>
      <c r="H3" s="4">
        <f>G3*0.1</f>
        <v>0.542658538849298</v>
      </c>
      <c r="L3" s="2" t="s">
        <v>14</v>
      </c>
      <c r="U3" s="2" t="s">
        <v>81</v>
      </c>
    </row>
    <row r="4" spans="1:21" ht="18.75">
      <c r="A4" t="s">
        <v>20</v>
      </c>
      <c r="B4">
        <f>'Comp''n'!J8+'Comp''n'!J9+'Comp''n'!J10</f>
        <v>0.1115114013436347</v>
      </c>
      <c r="D4" s="7">
        <f>D20</f>
        <v>1573</v>
      </c>
      <c r="E4">
        <f>D4*B7</f>
        <v>5.7039511081637955E-05</v>
      </c>
      <c r="F4">
        <f>EXP(B8/D4)</f>
        <v>48817.51738452099</v>
      </c>
      <c r="G4" s="4">
        <f t="shared" si="1"/>
        <v>2.7845273238324384</v>
      </c>
      <c r="H4" s="4">
        <f>G4*0.1</f>
        <v>0.27845273238324386</v>
      </c>
      <c r="I4" s="4"/>
      <c r="L4" s="2" t="s">
        <v>15</v>
      </c>
      <c r="U4" s="2" t="s">
        <v>82</v>
      </c>
    </row>
    <row r="5" spans="1:21" ht="18.75">
      <c r="A5" t="s">
        <v>33</v>
      </c>
      <c r="B5">
        <f>'Comp''n'!J13</f>
        <v>0.10242260249644017</v>
      </c>
      <c r="D5" s="7">
        <f t="shared" si="0"/>
        <v>1673</v>
      </c>
      <c r="E5">
        <f>D5*B7</f>
        <v>6.066567198956153E-05</v>
      </c>
      <c r="F5">
        <f>EXP(B8/D5)</f>
        <v>25605.077617827257</v>
      </c>
      <c r="G5" s="4">
        <f t="shared" si="1"/>
        <v>1.553349240030372</v>
      </c>
      <c r="H5" s="4">
        <f>G5*0.1</f>
        <v>0.1553349240030372</v>
      </c>
      <c r="L5" s="2" t="s">
        <v>16</v>
      </c>
      <c r="U5" s="2" t="s">
        <v>83</v>
      </c>
    </row>
    <row r="6" spans="1:12" ht="18.75">
      <c r="A6" t="s">
        <v>34</v>
      </c>
      <c r="B6">
        <f>'Comp''n'!J6+'Comp''n'!J16</f>
        <v>0.04748824546032411</v>
      </c>
      <c r="D6" s="7">
        <f t="shared" si="0"/>
        <v>1773</v>
      </c>
      <c r="E6">
        <f>D6*B7</f>
        <v>6.429183289748511E-05</v>
      </c>
      <c r="F6">
        <f>EXP(B8/D6)</f>
        <v>14444.068620459806</v>
      </c>
      <c r="G6" s="4">
        <f t="shared" si="1"/>
        <v>0.9286356461064101</v>
      </c>
      <c r="H6" s="4">
        <f>G6*0.1</f>
        <v>0.09286356461064102</v>
      </c>
      <c r="L6" s="2" t="s">
        <v>17</v>
      </c>
    </row>
    <row r="7" spans="1:21" ht="15.75">
      <c r="A7" t="s">
        <v>21</v>
      </c>
      <c r="B7">
        <f>EXP(-17.51+1.73*B3+5.82*B5+7.02*B4-33.76*B6)</f>
        <v>3.6261609079235825E-08</v>
      </c>
      <c r="D7" s="7">
        <f t="shared" si="0"/>
        <v>1873</v>
      </c>
      <c r="E7">
        <f>D7*B7</f>
        <v>6.79179938054087E-05</v>
      </c>
      <c r="F7">
        <f>EXP(B8/D7)</f>
        <v>8661.688102596343</v>
      </c>
      <c r="G7" s="4">
        <f t="shared" si="1"/>
        <v>0.5882844788965207</v>
      </c>
      <c r="H7" s="4">
        <f>G7/10</f>
        <v>0.058828447889652066</v>
      </c>
      <c r="L7" s="2" t="s">
        <v>18</v>
      </c>
      <c r="T7" t="s">
        <v>84</v>
      </c>
      <c r="U7" s="2">
        <f>0.2+2.35*0.717</f>
        <v>1.88495</v>
      </c>
    </row>
    <row r="8" spans="1:21" ht="12.75">
      <c r="A8" t="s">
        <v>22</v>
      </c>
      <c r="B8">
        <f>(31140-23896*B3-46356*B5-39159*B4+68833*B6)</f>
        <v>16981.86338312718</v>
      </c>
      <c r="D8" s="7">
        <f t="shared" si="0"/>
        <v>1973</v>
      </c>
      <c r="E8">
        <f>D8*B7</f>
        <v>7.154415471333228E-05</v>
      </c>
      <c r="F8">
        <f>EXP(B8/D8)</f>
        <v>5470.514330245129</v>
      </c>
      <c r="G8" s="4">
        <f t="shared" si="1"/>
        <v>0.3913833236045588</v>
      </c>
      <c r="H8" s="4">
        <f>G8/10</f>
        <v>0.03913833236045588</v>
      </c>
      <c r="T8" t="s">
        <v>85</v>
      </c>
      <c r="U8">
        <f>10169-(10530*'Comp''n'!S4)</f>
        <v>10169</v>
      </c>
    </row>
    <row r="9" spans="1:27" ht="12.75">
      <c r="A9" t="s">
        <v>39</v>
      </c>
      <c r="D9" s="7">
        <f>D25</f>
        <v>2023</v>
      </c>
      <c r="E9">
        <f>D9*B7</f>
        <v>7.335723516729407E-05</v>
      </c>
      <c r="F9">
        <f>EXP(B8/D9)</f>
        <v>4422.215686462466</v>
      </c>
      <c r="G9" s="4">
        <f t="shared" si="1"/>
        <v>0.32440151607232387</v>
      </c>
      <c r="H9" s="4">
        <f>G9/10</f>
        <v>0.03244015160723239</v>
      </c>
      <c r="T9" t="s">
        <v>86</v>
      </c>
      <c r="U9">
        <f>758.1-(368.9*'Comp''n'!S4)</f>
        <v>758.1</v>
      </c>
      <c r="W9">
        <v>1500</v>
      </c>
      <c r="X9">
        <f>U7*EXP(U8/(W9-U9))</f>
        <v>1690610.579659418</v>
      </c>
      <c r="AA9">
        <f>-13.47+8.91/0.717</f>
        <v>-1.0432217573221756</v>
      </c>
    </row>
    <row r="10" spans="1:24" ht="12.75">
      <c r="A10" t="s">
        <v>41</v>
      </c>
      <c r="B10">
        <f>'Comp''n'!O28</f>
        <v>0</v>
      </c>
      <c r="C10">
        <v>0</v>
      </c>
      <c r="W10">
        <v>1573</v>
      </c>
      <c r="X10">
        <f>U8*EXP(U9/(W10-Z10))</f>
        <v>16465.860950694347</v>
      </c>
    </row>
    <row r="11" spans="2:24" ht="12.75">
      <c r="B11">
        <f>B10</f>
        <v>0</v>
      </c>
      <c r="C11">
        <v>1</v>
      </c>
      <c r="W11">
        <v>1673</v>
      </c>
      <c r="X11">
        <f>U9*EXP(U10/(W11-Z11))</f>
        <v>758.1</v>
      </c>
    </row>
    <row r="12" spans="23:24" ht="12.75">
      <c r="W12">
        <v>1380</v>
      </c>
      <c r="X12">
        <f>U10*EXP(U11/(W12-Z12))</f>
        <v>0</v>
      </c>
    </row>
    <row r="14" ht="18.75">
      <c r="C14" s="8" t="s">
        <v>134</v>
      </c>
    </row>
    <row r="15" spans="2:3" ht="18.75">
      <c r="B15" s="7"/>
      <c r="C15" s="8" t="s">
        <v>138</v>
      </c>
    </row>
    <row r="16" spans="2:6" ht="12.75">
      <c r="B16" s="7"/>
      <c r="E16" t="s">
        <v>37</v>
      </c>
      <c r="F16" t="s">
        <v>37</v>
      </c>
    </row>
    <row r="17" spans="1:12" ht="12.75">
      <c r="A17" s="4" t="s">
        <v>132</v>
      </c>
      <c r="B17" s="7"/>
      <c r="E17" t="s">
        <v>89</v>
      </c>
      <c r="F17" t="s">
        <v>40</v>
      </c>
      <c r="H17" s="4" t="s">
        <v>184</v>
      </c>
      <c r="K17" t="s">
        <v>37</v>
      </c>
      <c r="L17" t="s">
        <v>37</v>
      </c>
    </row>
    <row r="18" spans="2:12" ht="12.75">
      <c r="B18" s="7"/>
      <c r="D18" t="s">
        <v>38</v>
      </c>
      <c r="K18" t="s">
        <v>174</v>
      </c>
      <c r="L18" t="s">
        <v>89</v>
      </c>
    </row>
    <row r="19" spans="1:12" ht="12.75">
      <c r="A19" t="s">
        <v>41</v>
      </c>
      <c r="B19">
        <f>'Comp''n'!B28</f>
        <v>0</v>
      </c>
      <c r="D19" s="7">
        <f>'Comp''n'!B47</f>
        <v>1473</v>
      </c>
      <c r="E19" s="4">
        <f>B26*EXP(B25/D19)</f>
        <v>93.37740206947362</v>
      </c>
      <c r="F19" s="4">
        <f aca="true" t="shared" si="2" ref="F19:F24">E19/10</f>
        <v>9.337740206947363</v>
      </c>
      <c r="H19" t="s">
        <v>192</v>
      </c>
      <c r="J19" s="7">
        <f>D19</f>
        <v>1473</v>
      </c>
      <c r="K19" s="4">
        <f>I22*EXP(H26/J19)</f>
        <v>0.3873543319578661</v>
      </c>
      <c r="L19" s="4">
        <f>10*K19</f>
        <v>3.873543319578661</v>
      </c>
    </row>
    <row r="20" spans="1:12" ht="12.75">
      <c r="A20" t="s">
        <v>104</v>
      </c>
      <c r="B20">
        <f>'Comp''n'!P4</f>
        <v>2.1890725348892905</v>
      </c>
      <c r="D20" s="7">
        <f>'Comp''n'!B48</f>
        <v>1573</v>
      </c>
      <c r="E20" s="4">
        <f>B26*EXP(B25/D20)</f>
        <v>41.763994054690926</v>
      </c>
      <c r="F20" s="4">
        <f t="shared" si="2"/>
        <v>4.176399405469093</v>
      </c>
      <c r="H20">
        <f>'Comp''n'!Z4</f>
        <v>0.6961738733394359</v>
      </c>
      <c r="J20" s="7">
        <f aca="true" t="shared" si="3" ref="J20:J25">D20</f>
        <v>1573</v>
      </c>
      <c r="K20" s="4">
        <f>I22*EXP(H26/J20)</f>
        <v>0.24446796078056862</v>
      </c>
      <c r="L20" s="4">
        <f aca="true" t="shared" si="4" ref="L20:L25">10*K20</f>
        <v>2.444679607805686</v>
      </c>
    </row>
    <row r="21" spans="1:12" ht="12.75">
      <c r="A21" t="s">
        <v>135</v>
      </c>
      <c r="B21" s="7">
        <f>'Comp''n'!J8+'Comp''n'!J9+'Comp''n'!J10</f>
        <v>0.1115114013436347</v>
      </c>
      <c r="D21" s="7">
        <f>'Comp''n'!B49</f>
        <v>1673</v>
      </c>
      <c r="E21" s="4">
        <f>B26*EXP(B25/D21)</f>
        <v>20.565358930370675</v>
      </c>
      <c r="F21" s="4">
        <f t="shared" si="2"/>
        <v>2.0565358930370676</v>
      </c>
      <c r="H21" t="s">
        <v>193</v>
      </c>
      <c r="I21" t="s">
        <v>84</v>
      </c>
      <c r="J21" s="7">
        <f t="shared" si="3"/>
        <v>1673</v>
      </c>
      <c r="K21" s="4">
        <f>I22*EXP(H26/J21)</f>
        <v>0.1630163089193663</v>
      </c>
      <c r="L21" s="4">
        <f t="shared" si="4"/>
        <v>1.6301630891936632</v>
      </c>
    </row>
    <row r="22" spans="1:12" ht="12.75">
      <c r="A22" t="s">
        <v>136</v>
      </c>
      <c r="B22" s="7">
        <f>'Comp''n'!J11</f>
        <v>0</v>
      </c>
      <c r="D22" s="7">
        <f>'Comp''n'!B50</f>
        <v>1773</v>
      </c>
      <c r="E22" s="4">
        <f>B26*EXP(B25/D22)</f>
        <v>10.96923216448767</v>
      </c>
      <c r="F22" s="4">
        <f t="shared" si="2"/>
        <v>1.096923216448767</v>
      </c>
      <c r="H22">
        <f>-232.69*(H20)^2+357.32*H20-144.17</f>
        <v>-8.188236006618268</v>
      </c>
      <c r="I22">
        <f>EXP(H22)</f>
        <v>0.0002779036723609228</v>
      </c>
      <c r="J22" s="7">
        <f t="shared" si="3"/>
        <v>1773</v>
      </c>
      <c r="K22" s="4">
        <f>I22*EXP(H26/J22)</f>
        <v>0.113786958702408</v>
      </c>
      <c r="L22" s="4">
        <f t="shared" si="4"/>
        <v>1.13786958702408</v>
      </c>
    </row>
    <row r="23" spans="1:12" ht="12.75">
      <c r="A23" t="s">
        <v>137</v>
      </c>
      <c r="B23" s="7">
        <f>'Comp''n'!J17</f>
        <v>0.004267608437351673</v>
      </c>
      <c r="D23" s="7">
        <f>'Comp''n'!B51</f>
        <v>1873</v>
      </c>
      <c r="E23" s="4">
        <f>B26*EXP(B25/D23)</f>
        <v>6.256954450855625</v>
      </c>
      <c r="F23" s="4">
        <f t="shared" si="2"/>
        <v>0.6256954450855625</v>
      </c>
      <c r="H23" t="s">
        <v>194</v>
      </c>
      <c r="J23" s="7">
        <f t="shared" si="3"/>
        <v>1873</v>
      </c>
      <c r="K23" s="4">
        <f>I22*EXP(H26/J23)</f>
        <v>0.08253278276041134</v>
      </c>
      <c r="L23" s="4">
        <f t="shared" si="4"/>
        <v>0.8253278276041134</v>
      </c>
    </row>
    <row r="24" spans="1:12" ht="12.75">
      <c r="A24" t="s">
        <v>133</v>
      </c>
      <c r="B24">
        <f>-6-1.15*B20+4.33*B21+1.14*B22-20*B23</f>
        <v>-8.119941216051778</v>
      </c>
      <c r="D24" s="7">
        <f>'Comp''n'!B52</f>
        <v>1973</v>
      </c>
      <c r="E24" s="4">
        <f>B26*EXP(B25/D24)</f>
        <v>3.7780241880600647</v>
      </c>
      <c r="F24" s="4">
        <f t="shared" si="2"/>
        <v>0.37780241880600646</v>
      </c>
      <c r="H24">
        <f>-1.77+2.88/H20</f>
        <v>2.3668975629394073</v>
      </c>
      <c r="J24" s="7">
        <f t="shared" si="3"/>
        <v>1973</v>
      </c>
      <c r="K24" s="4">
        <f>I22*EXP(H26/J24)</f>
        <v>0.06184405289976573</v>
      </c>
      <c r="L24" s="4">
        <f t="shared" si="4"/>
        <v>0.6184405289976573</v>
      </c>
    </row>
    <row r="25" spans="1:12" ht="12.75">
      <c r="A25" t="s">
        <v>85</v>
      </c>
      <c r="B25" s="7">
        <f>10000+4500*B20-10830*B21-6050*B22</f>
        <v>18643.15793045024</v>
      </c>
      <c r="D25" s="7">
        <f>'Comp''n'!B53</f>
        <v>2023</v>
      </c>
      <c r="E25" s="4">
        <f>B26*EXP(B25/D25)</f>
        <v>2.991151272060792</v>
      </c>
      <c r="F25" s="4">
        <f>E25/10</f>
        <v>0.2991151272060792</v>
      </c>
      <c r="H25" t="s">
        <v>85</v>
      </c>
      <c r="J25" s="7">
        <f t="shared" si="3"/>
        <v>2023</v>
      </c>
      <c r="K25" s="4">
        <f>I22*EXP(H26/J25)</f>
        <v>0.05411031438650621</v>
      </c>
      <c r="L25" s="4">
        <f t="shared" si="4"/>
        <v>0.5411031438650621</v>
      </c>
    </row>
    <row r="26" spans="1:8" ht="12.75">
      <c r="A26" s="1" t="s">
        <v>84</v>
      </c>
      <c r="B26" s="1">
        <f>EXP(B24)</f>
        <v>0.0002975461508650241</v>
      </c>
      <c r="D26" s="7"/>
      <c r="H26">
        <f>1000*EXP(H24)</f>
        <v>10664.255726457986</v>
      </c>
    </row>
    <row r="29" spans="5:6" ht="12.75">
      <c r="E29">
        <v>0.8242</v>
      </c>
      <c r="F29">
        <f>EXP(E29)</f>
        <v>2.2800559907242035</v>
      </c>
    </row>
    <row r="32" ht="12.75">
      <c r="I32">
        <f>IF(C32&gt;50,$L$73,$L$66)</f>
        <v>1.3366364653008296</v>
      </c>
    </row>
    <row r="36" spans="1:28" ht="15.75">
      <c r="A36" s="18" t="s">
        <v>141</v>
      </c>
      <c r="H36" t="s">
        <v>195</v>
      </c>
      <c r="N36" t="s">
        <v>149</v>
      </c>
      <c r="Y36" t="s">
        <v>172</v>
      </c>
      <c r="AB36" t="s">
        <v>173</v>
      </c>
    </row>
    <row r="37" spans="25:29" ht="12.75">
      <c r="Y37" t="s">
        <v>163</v>
      </c>
      <c r="Z37" t="s">
        <v>163</v>
      </c>
      <c r="AB37" t="s">
        <v>37</v>
      </c>
      <c r="AC37" t="s">
        <v>175</v>
      </c>
    </row>
    <row r="38" spans="1:29" ht="12.75">
      <c r="A38" s="7" t="s">
        <v>142</v>
      </c>
      <c r="B38" s="7" t="s">
        <v>13</v>
      </c>
      <c r="C38" s="7" t="s">
        <v>143</v>
      </c>
      <c r="D38" s="7" t="s">
        <v>51</v>
      </c>
      <c r="E38" s="7" t="s">
        <v>144</v>
      </c>
      <c r="F38" s="7" t="s">
        <v>145</v>
      </c>
      <c r="G38" s="7" t="s">
        <v>147</v>
      </c>
      <c r="H38" s="7"/>
      <c r="I38" s="7"/>
      <c r="J38" s="7"/>
      <c r="K38" s="7" t="s">
        <v>55</v>
      </c>
      <c r="L38" s="7">
        <f>D19</f>
        <v>1473</v>
      </c>
      <c r="M38" s="7">
        <f>D20</f>
        <v>1573</v>
      </c>
      <c r="N38" s="7">
        <f>D21</f>
        <v>1673</v>
      </c>
      <c r="O38" s="7">
        <f>D22</f>
        <v>1773</v>
      </c>
      <c r="P38" s="7">
        <f>D23</f>
        <v>1873</v>
      </c>
      <c r="Q38" s="7">
        <f>D24</f>
        <v>1973</v>
      </c>
      <c r="R38" s="7">
        <f>D25</f>
        <v>2023</v>
      </c>
      <c r="T38" t="s">
        <v>96</v>
      </c>
      <c r="U38" t="s">
        <v>84</v>
      </c>
      <c r="V38" t="s">
        <v>148</v>
      </c>
      <c r="W38" t="s">
        <v>149</v>
      </c>
      <c r="X38" t="s">
        <v>162</v>
      </c>
      <c r="Y38" t="s">
        <v>40</v>
      </c>
      <c r="Z38" t="s">
        <v>89</v>
      </c>
      <c r="AA38" t="s">
        <v>168</v>
      </c>
      <c r="AB38" t="s">
        <v>174</v>
      </c>
      <c r="AC38" t="s">
        <v>89</v>
      </c>
    </row>
    <row r="39" spans="1:29" ht="12.75">
      <c r="A39" t="str">
        <f>'Comp''n'!B4</f>
        <v>%SiO2</v>
      </c>
      <c r="B39">
        <f>'Comp''n'!F4</f>
        <v>37</v>
      </c>
      <c r="C39">
        <f>'Comp''n'!J4</f>
        <v>0.4000171641944302</v>
      </c>
      <c r="D39">
        <f>'Comp''n'!H4</f>
        <v>60</v>
      </c>
      <c r="E39">
        <f>27.29</f>
        <v>27.29</v>
      </c>
      <c r="F39">
        <v>1.48</v>
      </c>
      <c r="G39">
        <v>2001</v>
      </c>
      <c r="H39">
        <f>IF(B39&gt;50,$L$73,$L$66)</f>
        <v>1.3366364653008296</v>
      </c>
      <c r="I39">
        <f>IF(F39&gt;2,E39,G39)</f>
        <v>2001</v>
      </c>
      <c r="K39" t="s">
        <v>149</v>
      </c>
      <c r="L39">
        <f>C39*0.1317*EXP(5614/L38)</f>
        <v>2.381648810747853</v>
      </c>
      <c r="M39">
        <f>C39*0.1317*EXP(5614/M38)</f>
        <v>1.869180286925678</v>
      </c>
      <c r="N39">
        <f>C39*0.1317*EXP(5614/N38)</f>
        <v>1.5100942151556953</v>
      </c>
      <c r="O39">
        <f>C39*0.1317*EXP(5614/O38)</f>
        <v>1.2497058032694022</v>
      </c>
      <c r="P39">
        <f>C39*0.1317*EXP(5614/P38)</f>
        <v>1.0553305055917748</v>
      </c>
      <c r="Q39">
        <f>C39*0.1317*EXP(5614/Q38)</f>
        <v>0.9065914095224606</v>
      </c>
      <c r="R39">
        <f>C39*0.1317*EXP(5614/R38)</f>
        <v>0.8450242216583932</v>
      </c>
      <c r="T39" s="7">
        <f>L38</f>
        <v>1473</v>
      </c>
      <c r="U39">
        <f>1.029-2.078*10^-3*T39+1.05*10^-6*(T39)^2</f>
        <v>0.24632144999999994</v>
      </c>
      <c r="V39">
        <f>28.46-(2.0884*10^-2*T39)+4*10^-6*(T39)^2</f>
        <v>6.376783999999999</v>
      </c>
      <c r="W39">
        <f>L59*0.001</f>
        <v>0.020198534850057775</v>
      </c>
      <c r="X39">
        <f>IF(B39&gt;50,$L73,$L66)</f>
        <v>1.3366364653008296</v>
      </c>
      <c r="Y39" s="4">
        <f>U39*W39*EXP(V39/X39)</f>
        <v>0.5871388425043166</v>
      </c>
      <c r="Z39" s="4">
        <f>Y39*10</f>
        <v>5.871388425043166</v>
      </c>
      <c r="AA39">
        <f>L80</f>
        <v>1.3409431905140734</v>
      </c>
      <c r="AB39" s="4">
        <f>U39*W39*EXP(V39/AA39)</f>
        <v>0.5782110715210318</v>
      </c>
      <c r="AC39" s="4">
        <f>AB39*10</f>
        <v>5.782110715210318</v>
      </c>
    </row>
    <row r="40" spans="1:29" ht="12.75">
      <c r="A40" t="str">
        <f>'Comp''n'!B5</f>
        <v>%CaO</v>
      </c>
      <c r="B40">
        <f>'Comp''n'!F5</f>
        <v>36</v>
      </c>
      <c r="C40">
        <f>'Comp''n'!J5</f>
        <v>0.31413494346269094</v>
      </c>
      <c r="D40">
        <f>'Comp''n'!H5</f>
        <v>56.08</v>
      </c>
      <c r="E40">
        <v>23.49</v>
      </c>
      <c r="F40">
        <v>1.53</v>
      </c>
      <c r="G40">
        <v>2873</v>
      </c>
      <c r="I40">
        <f aca="true" t="shared" si="5" ref="I40:I53">IF(F40&gt;2,E40,G40)</f>
        <v>2873</v>
      </c>
      <c r="L40">
        <f>C40*0.1365*EXP(8664/L38)</f>
        <v>15.371427570995145</v>
      </c>
      <c r="M40">
        <f>C40*0.1365*EXP(8664/M38)</f>
        <v>10.57595793136998</v>
      </c>
      <c r="N40">
        <f>C40*0.1365*EXP(8664/N38)</f>
        <v>7.609196391095879</v>
      </c>
      <c r="O40">
        <f>C40*0.1365*EXP(8664/O38)</f>
        <v>5.681808228849445</v>
      </c>
      <c r="P40">
        <f>C40*0.1365*EXP(8664/P38)</f>
        <v>4.377031797632515</v>
      </c>
      <c r="Q40">
        <f>C40*0.1365*EXP(8664/Q38)</f>
        <v>3.4622512151161793</v>
      </c>
      <c r="R40">
        <f>C40*0.1365*EXP(8664/R38)</f>
        <v>3.1061533633107037</v>
      </c>
      <c r="T40" s="7">
        <f>M38</f>
        <v>1573</v>
      </c>
      <c r="U40">
        <f aca="true" t="shared" si="6" ref="U40:U45">1.029-2.078*10^-3*T40+1.05*10^-6*(T40)^2</f>
        <v>0.3583514499999998</v>
      </c>
      <c r="V40">
        <f aca="true" t="shared" si="7" ref="V40:V45">28.46-(2.0884*10^-2*T40)+4*10^-6*(T40)^2</f>
        <v>5.506784</v>
      </c>
      <c r="W40">
        <f>M59*0.001</f>
        <v>0.014207900145510113</v>
      </c>
      <c r="X40">
        <f>IF(B39&gt;50,$M73,$M66)</f>
        <v>1.371488841253238</v>
      </c>
      <c r="Y40" s="4">
        <f aca="true" t="shared" si="8" ref="Y40:Y45">U40*W40*EXP(V40/X40)</f>
        <v>0.2822361034394221</v>
      </c>
      <c r="Z40" s="4">
        <f aca="true" t="shared" si="9" ref="Z40:Z45">Y40*10</f>
        <v>2.822361034394221</v>
      </c>
      <c r="AA40">
        <f>M80</f>
        <v>1.3802930157368016</v>
      </c>
      <c r="AB40" s="4">
        <f aca="true" t="shared" si="10" ref="AB40:AB45">U40*W40*EXP(V40/AA40)</f>
        <v>0.2750995875603846</v>
      </c>
      <c r="AC40" s="4">
        <f aca="true" t="shared" si="11" ref="AC40:AC45">AB40*10</f>
        <v>2.750995875603846</v>
      </c>
    </row>
    <row r="41" spans="1:29" ht="12.75">
      <c r="A41" t="str">
        <f>'Comp''n'!B6</f>
        <v>%Al2O3</v>
      </c>
      <c r="B41">
        <f>'Comp''n'!F6</f>
        <v>6</v>
      </c>
      <c r="C41">
        <f>'Comp''n'!J6</f>
        <v>0.038194886112509575</v>
      </c>
      <c r="D41">
        <f>'Comp''n'!H6</f>
        <v>101.9</v>
      </c>
      <c r="E41">
        <v>33.58</v>
      </c>
      <c r="F41">
        <v>0.1</v>
      </c>
      <c r="G41">
        <v>2313</v>
      </c>
      <c r="I41">
        <f t="shared" si="5"/>
        <v>2313</v>
      </c>
      <c r="L41">
        <f>C41*0.1479*EXP(6680/L38)</f>
        <v>0.5266021802120651</v>
      </c>
      <c r="M41">
        <f>C41*0.1479*EXP(6680/M38)</f>
        <v>0.3947075671808562</v>
      </c>
      <c r="N41">
        <f>C41*0.1479*EXP(6680/N38)</f>
        <v>0.30622189383383674</v>
      </c>
      <c r="O41">
        <f>C41*0.1479*EXP(6680/O38)</f>
        <v>0.24447381803976484</v>
      </c>
      <c r="P41">
        <f>C41*0.1479*EXP(6680/P38)</f>
        <v>0.1999272655755574</v>
      </c>
      <c r="Q41">
        <f>C41*0.1479*EXP(6680/Q38)</f>
        <v>0.16686577906596448</v>
      </c>
      <c r="R41">
        <f>C41*0.1479*EXP(6680/R38)</f>
        <v>0.15347066158426786</v>
      </c>
      <c r="T41" s="7">
        <f>N38</f>
        <v>1673</v>
      </c>
      <c r="U41">
        <f t="shared" si="6"/>
        <v>0.49138144999999955</v>
      </c>
      <c r="V41">
        <f t="shared" si="7"/>
        <v>4.716783999999999</v>
      </c>
      <c r="W41">
        <f>N59*0.001</f>
        <v>0.01044953537761476</v>
      </c>
      <c r="X41">
        <f>IF(B39&gt;50,$N73,$N66)</f>
        <v>1.408303087553771</v>
      </c>
      <c r="Y41" s="4">
        <f t="shared" si="8"/>
        <v>0.14624607037996415</v>
      </c>
      <c r="Z41" s="4">
        <f t="shared" si="9"/>
        <v>1.4624607037996415</v>
      </c>
      <c r="AA41">
        <f>N80</f>
        <v>1.4220220920933317</v>
      </c>
      <c r="AB41" s="4">
        <f t="shared" si="10"/>
        <v>0.14159607294178653</v>
      </c>
      <c r="AC41" s="4">
        <f t="shared" si="11"/>
        <v>1.4159607294178653</v>
      </c>
    </row>
    <row r="42" spans="1:29" ht="12.75">
      <c r="A42" t="str">
        <f>'Comp''n'!B7</f>
        <v>%MgO</v>
      </c>
      <c r="B42">
        <f>'Comp''n'!F7</f>
        <v>1</v>
      </c>
      <c r="C42">
        <f>'Comp''n'!J7</f>
        <v>0.016096190632194897</v>
      </c>
      <c r="D42">
        <f>'Comp''n'!H7</f>
        <v>40.3</v>
      </c>
      <c r="E42">
        <v>16.16</v>
      </c>
      <c r="F42">
        <v>1.51</v>
      </c>
      <c r="G42">
        <v>3073</v>
      </c>
      <c r="I42">
        <f t="shared" si="5"/>
        <v>3073</v>
      </c>
      <c r="L42">
        <f>C42*0.1474*EXP(9313/L38)</f>
        <v>1.321401884046036</v>
      </c>
      <c r="M42">
        <f>C42*0.1474*EXP(9313/M38)</f>
        <v>0.8840479909020941</v>
      </c>
      <c r="N42">
        <f>C42*0.1474*EXP(9313/N38)</f>
        <v>0.6205611072464063</v>
      </c>
      <c r="O42">
        <f>C42*0.1474*EXP(9313/O38)</f>
        <v>0.4533463546244965</v>
      </c>
      <c r="P42">
        <f>C42*0.1474*EXP(9313/P38)</f>
        <v>0.3424803866914604</v>
      </c>
      <c r="Q42">
        <f>C42*0.1474*EXP(9313/Q38)</f>
        <v>0.26618734056225984</v>
      </c>
      <c r="R42">
        <f>C42*0.1474*EXP(9313/R38)</f>
        <v>0.23687590792518015</v>
      </c>
      <c r="T42" s="7">
        <f>O38</f>
        <v>1773</v>
      </c>
      <c r="U42">
        <f t="shared" si="6"/>
        <v>0.6454114499999997</v>
      </c>
      <c r="V42">
        <f t="shared" si="7"/>
        <v>4.006784</v>
      </c>
      <c r="W42">
        <f>O59*0.001</f>
        <v>0.00797351053796466</v>
      </c>
      <c r="X42">
        <f>IF(B39&gt;50,$O73,$O66)</f>
        <v>1.4472408038346072</v>
      </c>
      <c r="Y42" s="4">
        <f t="shared" si="8"/>
        <v>0.08200868915921386</v>
      </c>
      <c r="Z42" s="4">
        <f t="shared" si="9"/>
        <v>0.8200868915921387</v>
      </c>
      <c r="AA42">
        <f>O80</f>
        <v>1.4663529355561467</v>
      </c>
      <c r="AB42" s="4">
        <f t="shared" si="10"/>
        <v>0.07910216832146252</v>
      </c>
      <c r="AC42" s="4">
        <f t="shared" si="11"/>
        <v>0.7910216832146253</v>
      </c>
    </row>
    <row r="43" spans="1:29" ht="12.75">
      <c r="A43" t="str">
        <f>'Comp''n'!B8</f>
        <v>%Na2O</v>
      </c>
      <c r="B43">
        <f>'Comp''n'!F8</f>
        <v>10</v>
      </c>
      <c r="C43">
        <f>'Comp''n'!J8</f>
        <v>0.10462523910926683</v>
      </c>
      <c r="D43">
        <f>'Comp''n'!H8</f>
        <v>62</v>
      </c>
      <c r="E43">
        <v>27.25</v>
      </c>
      <c r="F43">
        <v>1.94</v>
      </c>
      <c r="G43">
        <v>1193</v>
      </c>
      <c r="I43">
        <f t="shared" si="5"/>
        <v>1193</v>
      </c>
      <c r="L43">
        <f>C43*0.1362*EXP(3018/L38)</f>
        <v>0.11056833719963523</v>
      </c>
      <c r="M43">
        <f>C43*0.1362*EXP(3018/M38)</f>
        <v>0.09706499024243768</v>
      </c>
      <c r="N43">
        <f>C43*0.1362*EXP(3018/N38)</f>
        <v>0.08654797962437721</v>
      </c>
      <c r="O43">
        <f>C43*0.1362*EXP(3018/O38)</f>
        <v>0.07817528824583993</v>
      </c>
      <c r="P43">
        <f>C43*0.1362*EXP(3018/P38)</f>
        <v>0.07138392250021827</v>
      </c>
      <c r="Q43">
        <f>C43*0.1362*EXP(3018/Q38)</f>
        <v>0.06578581303388155</v>
      </c>
      <c r="R43">
        <f>C43*0.1362*EXP(3018/R38)</f>
        <v>0.06334511074119302</v>
      </c>
      <c r="T43" s="7">
        <f>P38</f>
        <v>1873</v>
      </c>
      <c r="U43">
        <f t="shared" si="6"/>
        <v>0.8204414499999992</v>
      </c>
      <c r="V43">
        <f t="shared" si="7"/>
        <v>3.376783999999999</v>
      </c>
      <c r="W43">
        <f>P59*0.001</f>
        <v>0.006273983523747505</v>
      </c>
      <c r="X43">
        <f>IF(B39&gt;50,$P73,$P66)</f>
        <v>1.4884839126690146</v>
      </c>
      <c r="Y43" s="4">
        <f t="shared" si="8"/>
        <v>0.04975470669169013</v>
      </c>
      <c r="Z43" s="4">
        <f t="shared" si="9"/>
        <v>0.4975470669169013</v>
      </c>
      <c r="AA43">
        <f>P80</f>
        <v>1.5803506208911613</v>
      </c>
      <c r="AB43" s="4">
        <f t="shared" si="10"/>
        <v>0.04360752167164692</v>
      </c>
      <c r="AC43" s="4">
        <f t="shared" si="11"/>
        <v>0.4360752167164692</v>
      </c>
    </row>
    <row r="44" spans="1:29" ht="12.75">
      <c r="A44" t="str">
        <f>'Comp''n'!B9</f>
        <v>%K2O</v>
      </c>
      <c r="B44">
        <f>'Comp''n'!F9</f>
        <v>1</v>
      </c>
      <c r="C44">
        <f>'Comp''n'!J9</f>
        <v>0.00688616223436788</v>
      </c>
      <c r="D44">
        <f>'Comp''n'!H9</f>
        <v>94.2</v>
      </c>
      <c r="E44">
        <v>40.96</v>
      </c>
      <c r="F44">
        <v>1.37</v>
      </c>
      <c r="G44">
        <v>980</v>
      </c>
      <c r="I44">
        <f t="shared" si="5"/>
        <v>980</v>
      </c>
      <c r="L44">
        <f>C44*0.1279*EXP(2383/L38)</f>
        <v>0.004440620788370153</v>
      </c>
      <c r="M44">
        <f>C44*0.1279*EXP(2383/M38)</f>
        <v>0.004006615861178895</v>
      </c>
      <c r="N44">
        <f>C44*0.1279*EXP(2383/N38)</f>
        <v>0.003659749426719539</v>
      </c>
      <c r="O44">
        <f>C44*0.1279*EXP(2383/O38)</f>
        <v>0.003377233852709723</v>
      </c>
      <c r="P44">
        <f>C44*0.1279*EXP(2383/P38)</f>
        <v>0.003143377307094306</v>
      </c>
      <c r="Q44">
        <f>C44*0.1279*EXP(2383/Q38)</f>
        <v>0.0029470737438369466</v>
      </c>
      <c r="R44">
        <f>C44*0.1279*EXP(2383/R38)</f>
        <v>0.0028603983221884275</v>
      </c>
      <c r="T44" s="7">
        <f>Q38</f>
        <v>1973</v>
      </c>
      <c r="U44">
        <f t="shared" si="6"/>
        <v>1.0164714499999992</v>
      </c>
      <c r="V44">
        <f t="shared" si="7"/>
        <v>2.826783999999998</v>
      </c>
      <c r="W44">
        <f>Q59*0.001</f>
        <v>0.005066141353199185</v>
      </c>
      <c r="X44">
        <f>IF(B39&gt;50,$Q73,$Q66)</f>
        <v>1.5322376848792048</v>
      </c>
      <c r="Y44" s="4">
        <f t="shared" si="8"/>
        <v>0.032582970136919416</v>
      </c>
      <c r="Z44" s="4">
        <f t="shared" si="9"/>
        <v>0.32582970136919415</v>
      </c>
      <c r="AA44">
        <f>Q80</f>
        <v>1.5638579494975235</v>
      </c>
      <c r="AB44" s="4">
        <f t="shared" si="10"/>
        <v>0.031389942627169466</v>
      </c>
      <c r="AC44" s="4">
        <f t="shared" si="11"/>
        <v>0.31389942627169465</v>
      </c>
    </row>
    <row r="45" spans="1:29" ht="12.75">
      <c r="A45" t="str">
        <f>'Comp''n'!B10</f>
        <v>%Li2O</v>
      </c>
      <c r="B45">
        <f>'Comp''n'!F10</f>
        <v>0</v>
      </c>
      <c r="C45">
        <f>'Comp''n'!J10</f>
        <v>0</v>
      </c>
      <c r="D45">
        <f>'Comp''n'!H10</f>
        <v>29.8</v>
      </c>
      <c r="E45">
        <v>20.07</v>
      </c>
      <c r="F45">
        <v>3.55</v>
      </c>
      <c r="G45">
        <v>2000</v>
      </c>
      <c r="I45">
        <f t="shared" si="5"/>
        <v>20.07</v>
      </c>
      <c r="L45">
        <f>C45*0.114*EXP(5610/L38)</f>
        <v>0</v>
      </c>
      <c r="M45">
        <f>C45*0.114*EXP(5610/M38)</f>
        <v>0</v>
      </c>
      <c r="N45">
        <f>C45*0.114*EXP(5610/N38)</f>
        <v>0</v>
      </c>
      <c r="O45">
        <f>C45*0.114*EXP(5610/O38)</f>
        <v>0</v>
      </c>
      <c r="P45">
        <f>C45*0.114*EXP(5610/P38)</f>
        <v>0</v>
      </c>
      <c r="Q45">
        <f>C45*0.114*EXP(5610/Q38)</f>
        <v>0</v>
      </c>
      <c r="R45">
        <f>C45*0.114*EXP(5610/R38)</f>
        <v>0</v>
      </c>
      <c r="T45" s="7">
        <f>R38</f>
        <v>2023</v>
      </c>
      <c r="U45">
        <f t="shared" si="6"/>
        <v>1.1223614499999996</v>
      </c>
      <c r="V45">
        <f t="shared" si="7"/>
        <v>2.5817840000000025</v>
      </c>
      <c r="W45">
        <f>R59*0.001</f>
        <v>0.004591115247341145</v>
      </c>
      <c r="X45">
        <f>IF(B39&gt;50,$R73,$R66)</f>
        <v>1.5551274929317582</v>
      </c>
      <c r="Y45" s="4">
        <f t="shared" si="8"/>
        <v>0.027105401053334255</v>
      </c>
      <c r="Z45" s="4">
        <f t="shared" si="9"/>
        <v>0.27105401053334255</v>
      </c>
      <c r="AA45">
        <f>R80</f>
        <v>1.590294575183646</v>
      </c>
      <c r="AB45" s="4">
        <f t="shared" si="10"/>
        <v>0.026128341810103997</v>
      </c>
      <c r="AC45" s="4">
        <f t="shared" si="11"/>
        <v>0.26128341810103994</v>
      </c>
    </row>
    <row r="46" spans="1:18" ht="12.75">
      <c r="A46" t="str">
        <f>'Comp''n'!B11</f>
        <v>%FeO</v>
      </c>
      <c r="B46">
        <f>'Comp''n'!F11</f>
        <v>0</v>
      </c>
      <c r="C46">
        <f>'Comp''n'!J11</f>
        <v>0</v>
      </c>
      <c r="D46">
        <f>'Comp''n'!H11</f>
        <v>71.85</v>
      </c>
      <c r="E46">
        <v>15.55</v>
      </c>
      <c r="F46">
        <v>0.96</v>
      </c>
      <c r="G46">
        <v>1643</v>
      </c>
      <c r="I46">
        <f t="shared" si="5"/>
        <v>1643</v>
      </c>
      <c r="L46">
        <f>C46*0.2116*EXP(4428/L38)</f>
        <v>0</v>
      </c>
      <c r="M46">
        <f>C46*0.2116*EXP(4428/M38)</f>
        <v>0</v>
      </c>
      <c r="N46">
        <f>C46*0.2116*EXP(4428/N38)</f>
        <v>0</v>
      </c>
      <c r="O46">
        <f>C46*0.2116*EXP(4428/O38)</f>
        <v>0</v>
      </c>
      <c r="P46">
        <f>C46*0.2116*EXP(4428/P38)</f>
        <v>0</v>
      </c>
      <c r="Q46">
        <f>C46*0.2116*EXP(4428/Q38)</f>
        <v>0</v>
      </c>
      <c r="R46">
        <f>C46*0.2116*EXP(4428/R38)</f>
        <v>0</v>
      </c>
    </row>
    <row r="47" spans="1:18" ht="12.75">
      <c r="A47" t="str">
        <f>'Comp''n'!B12</f>
        <v>%MnO</v>
      </c>
      <c r="B47">
        <f>'Comp''n'!F12</f>
        <v>0</v>
      </c>
      <c r="C47">
        <f>'Comp''n'!J12</f>
        <v>0</v>
      </c>
      <c r="D47">
        <f>'Comp''n'!H12</f>
        <v>71</v>
      </c>
      <c r="E47">
        <v>16.97</v>
      </c>
      <c r="F47">
        <v>1.03</v>
      </c>
      <c r="G47">
        <v>2053</v>
      </c>
      <c r="I47">
        <f t="shared" si="5"/>
        <v>2053</v>
      </c>
      <c r="L47">
        <f>C47*0.1961*EXP(5789/L38)</f>
        <v>0</v>
      </c>
      <c r="M47">
        <f>C47*0.1961*EXP(5789/M38)</f>
        <v>0</v>
      </c>
      <c r="N47">
        <f>C47*0.1961*EXP(5789/N38)</f>
        <v>0</v>
      </c>
      <c r="O47">
        <f>C47*0.1961*EXP(5789/O38)</f>
        <v>0</v>
      </c>
      <c r="P47">
        <f>C47*0.1961*EXP(5789/P38)</f>
        <v>0</v>
      </c>
      <c r="Q47">
        <f>C47*0.1961*EXP(5789/Q38)</f>
        <v>0</v>
      </c>
      <c r="R47">
        <f>C47*0.1961*EXP(5789/R38)</f>
        <v>0</v>
      </c>
    </row>
    <row r="48" spans="1:18" ht="12.75">
      <c r="A48" t="s">
        <v>146</v>
      </c>
      <c r="B48">
        <f>'Comp''n'!F13</f>
        <v>6</v>
      </c>
      <c r="C48">
        <f>'Comp''n'!J13</f>
        <v>0.10242260249644017</v>
      </c>
      <c r="D48">
        <f>'Comp''n'!H13</f>
        <v>78</v>
      </c>
      <c r="E48">
        <v>30.62</v>
      </c>
      <c r="F48">
        <v>1.53</v>
      </c>
      <c r="G48">
        <v>1692</v>
      </c>
      <c r="I48">
        <f t="shared" si="5"/>
        <v>1692</v>
      </c>
      <c r="L48">
        <f>C48*0.1403*EXP(4587/L38)</f>
        <v>0.32349642958097463</v>
      </c>
      <c r="M48">
        <f>C48*0.1403*EXP(4587/M38)</f>
        <v>0.26539493570278583</v>
      </c>
      <c r="N48">
        <f>C48*0.1403*EXP(4587/N38)</f>
        <v>0.22294304944740362</v>
      </c>
      <c r="O48">
        <f>C48*0.1403*EXP(4587/O38)</f>
        <v>0.1910004079315393</v>
      </c>
      <c r="P48">
        <f>C48*0.1403*EXP(4587/P38)</f>
        <v>0.1663588835234612</v>
      </c>
      <c r="Q48">
        <f>C48*0.1403*EXP(4587/Q38)</f>
        <v>0.1469395215866818</v>
      </c>
      <c r="R48">
        <f>C48*0.1403*EXP(4587/R38)</f>
        <v>0.1387341817587139</v>
      </c>
    </row>
    <row r="49" spans="1:18" ht="12.75">
      <c r="A49" t="str">
        <f>'Comp''n'!B14</f>
        <v>%ZrO2</v>
      </c>
      <c r="B49">
        <f>'Comp''n'!F14</f>
        <v>0</v>
      </c>
      <c r="C49">
        <f>'Comp''n'!J14</f>
        <v>0</v>
      </c>
      <c r="D49">
        <f>'Comp''n'!H14</f>
        <v>123.2</v>
      </c>
      <c r="E49">
        <v>21.89</v>
      </c>
      <c r="F49">
        <v>0.08</v>
      </c>
      <c r="G49">
        <v>2950</v>
      </c>
      <c r="I49">
        <f t="shared" si="5"/>
        <v>2950</v>
      </c>
      <c r="L49">
        <f>C49*0.2128*EXP(8944/L38)</f>
        <v>0</v>
      </c>
      <c r="M49">
        <f>C49*0.2128*EXP(8944/M38)</f>
        <v>0</v>
      </c>
      <c r="N49">
        <f>C49*0.2128*EXP(8944/N38)</f>
        <v>0</v>
      </c>
      <c r="O49">
        <f>C49*0.2128*EXP(8944/O38)</f>
        <v>0</v>
      </c>
      <c r="P49">
        <f>C49*0.2128*EXP(8944/P38)</f>
        <v>0</v>
      </c>
      <c r="Q49">
        <f>C49*0.2128*EXP(8944/Q38)</f>
        <v>0</v>
      </c>
      <c r="R49">
        <f>C49*0.2128*EXP(8944/R38)</f>
        <v>0</v>
      </c>
    </row>
    <row r="50" spans="1:23" ht="12.75">
      <c r="A50" t="str">
        <f>'Comp''n'!B15</f>
        <v>%TiO2</v>
      </c>
      <c r="B50">
        <f>'Comp''n'!F15</f>
        <v>0</v>
      </c>
      <c r="C50">
        <f>'Comp''n'!J15</f>
        <v>0</v>
      </c>
      <c r="D50">
        <f>'Comp''n'!H15</f>
        <v>79.9</v>
      </c>
      <c r="E50">
        <v>21.88</v>
      </c>
      <c r="F50">
        <v>0.36</v>
      </c>
      <c r="G50">
        <v>2108</v>
      </c>
      <c r="I50">
        <f t="shared" si="5"/>
        <v>2108</v>
      </c>
      <c r="L50">
        <f>C50*0.1754*EXP(5976/L38)</f>
        <v>0</v>
      </c>
      <c r="M50">
        <f>C50*0.1754*EXP(5976/M38)</f>
        <v>0</v>
      </c>
      <c r="N50">
        <f>C50*0.1754*EXP(5976/N38)</f>
        <v>0</v>
      </c>
      <c r="O50">
        <f>C50*0.1754*EXP(5976/O38)</f>
        <v>0</v>
      </c>
      <c r="P50">
        <f>C50*0.1754*EXP(5976/P38)</f>
        <v>0</v>
      </c>
      <c r="Q50">
        <f>C50*0.1754*EXP(5976/Q38)</f>
        <v>0</v>
      </c>
      <c r="R50">
        <f>C50*0.1754*EXP(5976/R38)</f>
        <v>0</v>
      </c>
      <c r="V50">
        <f>(9362/1873)-4.0937</f>
        <v>0.9046982915109449</v>
      </c>
      <c r="W50">
        <f>EXP(V50)</f>
        <v>2.47118623270813</v>
      </c>
    </row>
    <row r="51" spans="1:18" ht="12.75">
      <c r="A51" t="str">
        <f>'Comp''n'!B16</f>
        <v>%B2O3</v>
      </c>
      <c r="B51">
        <f>'Comp''n'!F16</f>
        <v>1</v>
      </c>
      <c r="C51">
        <f>'Comp''n'!J16</f>
        <v>0.009293359347814532</v>
      </c>
      <c r="D51">
        <f>'Comp''n'!H16</f>
        <v>69.8</v>
      </c>
      <c r="E51">
        <f>41.69</f>
        <v>41.69</v>
      </c>
      <c r="F51">
        <v>1.12</v>
      </c>
      <c r="G51">
        <v>723</v>
      </c>
      <c r="I51">
        <f t="shared" si="5"/>
        <v>723</v>
      </c>
      <c r="L51">
        <f>C51*0.1077*EXP(1655/L38)</f>
        <v>0.0030785286369988314</v>
      </c>
      <c r="M51">
        <f>C51*0.1077*EXP(1655/M38)</f>
        <v>0.0028663059926447272</v>
      </c>
      <c r="N51">
        <f>C51*0.1077*EXP(1655/N38)</f>
        <v>0.0026915985841367658</v>
      </c>
      <c r="O51">
        <f>C51*0.1077*EXP(1655/O38)</f>
        <v>0.0025455342214095737</v>
      </c>
      <c r="P51">
        <f>C51*0.1077*EXP(1655/P38)</f>
        <v>0.002421781883680793</v>
      </c>
      <c r="Q51">
        <f>C51*0.1077*EXP(1655/Q38)</f>
        <v>0.0023157150746037597</v>
      </c>
      <c r="R51">
        <f>C51*0.1077*EXP(1655/R38)</f>
        <v>0.0022681994985543556</v>
      </c>
    </row>
    <row r="52" spans="1:18" ht="12.75">
      <c r="A52" t="str">
        <f>'Comp''n'!B17</f>
        <v>% Cr2O3</v>
      </c>
      <c r="B52">
        <f>'Comp''n'!F17</f>
        <v>1</v>
      </c>
      <c r="C52">
        <f>'Comp''n'!J17</f>
        <v>0.004267608437351673</v>
      </c>
      <c r="D52">
        <f>'Comp''n'!H17</f>
        <v>152</v>
      </c>
      <c r="E52">
        <v>29.15</v>
      </c>
      <c r="F52">
        <v>0.71</v>
      </c>
      <c r="G52">
        <v>2538</v>
      </c>
      <c r="I52">
        <f t="shared" si="5"/>
        <v>2538</v>
      </c>
      <c r="L52">
        <f>C52*0.1971*EXP(7467/L38)</f>
        <v>0.13378793295260813</v>
      </c>
      <c r="M52">
        <f>C52*0.1971*EXP(7467/M38)</f>
        <v>0.09693007216556411</v>
      </c>
      <c r="N52">
        <f>C52*0.1971*EXP(7467/N38)</f>
        <v>0.072984654721929</v>
      </c>
      <c r="O52">
        <f>C52*0.1971*EXP(7467/O38)</f>
        <v>0.05674204343522079</v>
      </c>
      <c r="P52">
        <f>C52*0.1971*EXP(7467/P38)</f>
        <v>0.04531608060945035</v>
      </c>
      <c r="Q52">
        <f>C52*0.1971*EXP(7467/Q38)</f>
        <v>0.03702530184081265</v>
      </c>
      <c r="R52">
        <f>C52*0.1971*EXP(7467/R38)</f>
        <v>0.03371903154829015</v>
      </c>
    </row>
    <row r="53" spans="1:18" ht="12.75">
      <c r="A53" t="str">
        <f>'Comp''n'!B18</f>
        <v>% CrO</v>
      </c>
      <c r="B53">
        <f>'Comp''n'!F18</f>
        <v>0</v>
      </c>
      <c r="C53">
        <f>'Comp''n'!J18</f>
        <v>0</v>
      </c>
      <c r="D53">
        <f>'Comp''n'!H18</f>
        <v>68</v>
      </c>
      <c r="E53">
        <v>10.54</v>
      </c>
      <c r="F53">
        <v>1.48</v>
      </c>
      <c r="G53">
        <v>1973</v>
      </c>
      <c r="I53">
        <f t="shared" si="5"/>
        <v>1973</v>
      </c>
      <c r="L53" s="19">
        <f>C53*4.278*EXP(11.839/L38)</f>
        <v>0</v>
      </c>
      <c r="M53" s="19">
        <f>C53*4.278*EXP(11.839/M38)</f>
        <v>0</v>
      </c>
      <c r="N53" s="19">
        <f>C53*4.278*EXP(11.839/N38)</f>
        <v>0</v>
      </c>
      <c r="O53" s="19">
        <f>C53*4.278*EXP(11.839/O38)</f>
        <v>0</v>
      </c>
      <c r="P53" s="19">
        <f>C53*4.278*EXP(11.839/P38)</f>
        <v>0</v>
      </c>
      <c r="Q53" s="19">
        <f>C53*4.278*EXP(11.839/Q38)</f>
        <v>0</v>
      </c>
      <c r="R53" s="19">
        <f>C53*4.278*EXP(11.839/R38)</f>
        <v>0</v>
      </c>
    </row>
    <row r="54" spans="1:18" ht="12.75">
      <c r="A54" t="str">
        <f>'Comp''n'!B19</f>
        <v>%NiO</v>
      </c>
      <c r="B54">
        <f>'Comp''n'!F19</f>
        <v>0</v>
      </c>
      <c r="C54">
        <f>'Comp''n'!J19</f>
        <v>0</v>
      </c>
      <c r="D54">
        <f>'Comp''n'!H19</f>
        <v>74.7</v>
      </c>
      <c r="E54">
        <v>16</v>
      </c>
      <c r="F54">
        <v>1</v>
      </c>
      <c r="L54">
        <f>C54*0.2116*EXP(44.28/L38)</f>
        <v>0</v>
      </c>
      <c r="M54">
        <f>C54*0.2116*EXP(44.28/M38)</f>
        <v>0</v>
      </c>
      <c r="N54">
        <f>C54*0.2116*EXP(44.28/N38)</f>
        <v>0</v>
      </c>
      <c r="O54">
        <f>C54*0.2116*EXP(44.28/O38)</f>
        <v>0</v>
      </c>
      <c r="P54">
        <f>C54*0.2116*EXP(44.28/P38)</f>
        <v>0</v>
      </c>
      <c r="Q54">
        <f>C54*0.2116*EXP(44.28/Q38)</f>
        <v>0</v>
      </c>
      <c r="R54">
        <f>C54*0.2116*EXP(44.28/R38)</f>
        <v>0</v>
      </c>
    </row>
    <row r="55" spans="1:18" ht="12.75">
      <c r="A55" t="str">
        <f>'Comp''n'!B20</f>
        <v>%Fe2O3</v>
      </c>
      <c r="B55">
        <f>'Comp''n'!F20</f>
        <v>1</v>
      </c>
      <c r="C55">
        <f>'Comp''n'!J20</f>
        <v>0.00406184397293334</v>
      </c>
      <c r="D55">
        <f>'Comp''n'!H20</f>
        <v>159.7</v>
      </c>
      <c r="E55">
        <v>37.66</v>
      </c>
      <c r="F55">
        <v>0.08</v>
      </c>
      <c r="G55">
        <v>1838</v>
      </c>
      <c r="L55">
        <f>C55*0.1741*EXP(5069/L38)</f>
        <v>0.022082554898089583</v>
      </c>
      <c r="M55">
        <f>C55*0.1741*EXP(5069/M38)</f>
        <v>0.017743449166895214</v>
      </c>
      <c r="N55">
        <f>C55*0.1741*EXP(5069/N38)</f>
        <v>0.014634738478378099</v>
      </c>
      <c r="O55">
        <f>C55*0.1741*EXP(5069/O38)</f>
        <v>0.012335825494831493</v>
      </c>
      <c r="P55">
        <f>C55*0.1741*EXP(5069/P38)</f>
        <v>0.0105895224322919</v>
      </c>
      <c r="Q55">
        <f>C55*0.1741*EXP(5069/Q38)</f>
        <v>0.009232183652503816</v>
      </c>
      <c r="R55">
        <f>C55*0.1741*EXP(5069/R38)</f>
        <v>0.008664170993659664</v>
      </c>
    </row>
    <row r="56" spans="1:12" ht="12.75">
      <c r="A56" t="str">
        <f>'Comp''n'!B21</f>
        <v>%BaO</v>
      </c>
      <c r="B56">
        <f>'Comp''n'!F21</f>
        <v>0</v>
      </c>
      <c r="C56">
        <f>'Comp''n'!J21</f>
        <v>0</v>
      </c>
      <c r="D56">
        <f>'Comp''n'!H21</f>
        <v>153.3</v>
      </c>
      <c r="L56" t="e">
        <f>C56*0.114*EXP(5610/L49)</f>
        <v>#DIV/0!</v>
      </c>
    </row>
    <row r="57" spans="1:12" ht="12.75">
      <c r="A57" t="str">
        <f>'Comp''n'!B22</f>
        <v>SrO</v>
      </c>
      <c r="B57">
        <f>'Comp''n'!F22</f>
        <v>0</v>
      </c>
      <c r="C57">
        <f>'Comp''n'!J22</f>
        <v>0</v>
      </c>
      <c r="D57">
        <f>'Comp''n'!H22</f>
        <v>103.6</v>
      </c>
      <c r="L57" t="e">
        <f>C57*0.114*EXP(5610/L50)</f>
        <v>#DIV/0!</v>
      </c>
    </row>
    <row r="58" spans="1:12" ht="12.75">
      <c r="A58" t="str">
        <f>'Comp''n'!B23</f>
        <v>%</v>
      </c>
      <c r="B58">
        <f>'Comp''n'!F23</f>
        <v>0</v>
      </c>
      <c r="C58">
        <f>'Comp''n'!J23</f>
        <v>0</v>
      </c>
      <c r="D58">
        <f>'Comp''n'!H23</f>
        <v>1000</v>
      </c>
      <c r="L58" t="e">
        <f>C58*0.114*EXP(5610/L51)</f>
        <v>#NUM!</v>
      </c>
    </row>
    <row r="59" spans="1:18" ht="12.75">
      <c r="A59" s="16" t="s">
        <v>102</v>
      </c>
      <c r="B59" s="16">
        <f>'Comp''n'!F24</f>
        <v>100</v>
      </c>
      <c r="C59" s="16">
        <f>'Comp''n'!J24</f>
        <v>0.9999999999999999</v>
      </c>
      <c r="D59" s="16">
        <f>'Comp''n'!H24</f>
        <v>62.580210125324946</v>
      </c>
      <c r="E59" s="16"/>
      <c r="F59" s="16"/>
      <c r="G59" s="16"/>
      <c r="H59" s="16"/>
      <c r="I59" s="16"/>
      <c r="J59" s="16"/>
      <c r="K59" s="16" t="s">
        <v>149</v>
      </c>
      <c r="L59" s="16">
        <f>SUM(L39:L55)</f>
        <v>20.198534850057776</v>
      </c>
      <c r="M59" s="16">
        <f aca="true" t="shared" si="12" ref="M59:R59">SUM(M39:M55)</f>
        <v>14.207900145510113</v>
      </c>
      <c r="N59" s="16">
        <f t="shared" si="12"/>
        <v>10.44953537761476</v>
      </c>
      <c r="O59" s="16">
        <f t="shared" si="12"/>
        <v>7.9735105379646605</v>
      </c>
      <c r="P59" s="16">
        <f t="shared" si="12"/>
        <v>6.273983523747504</v>
      </c>
      <c r="Q59" s="16">
        <f t="shared" si="12"/>
        <v>5.066141353199185</v>
      </c>
      <c r="R59" s="16">
        <f t="shared" si="12"/>
        <v>4.591115247341144</v>
      </c>
    </row>
    <row r="60" ht="12.75">
      <c r="I60" t="s">
        <v>164</v>
      </c>
    </row>
    <row r="61" spans="7:11" ht="12.75">
      <c r="G61">
        <f>0.14/50</f>
        <v>0.0028000000000000004</v>
      </c>
      <c r="K61" t="s">
        <v>159</v>
      </c>
    </row>
    <row r="62" spans="9:18" ht="12.75">
      <c r="I62" t="s">
        <v>158</v>
      </c>
      <c r="K62" t="s">
        <v>57</v>
      </c>
      <c r="L62">
        <f>1.88-0.0028*(L38-1723)</f>
        <v>2.58</v>
      </c>
      <c r="M62">
        <f aca="true" t="shared" si="13" ref="M62:R62">1.88-0.0028*(M38-1723)</f>
        <v>2.3</v>
      </c>
      <c r="N62">
        <f t="shared" si="13"/>
        <v>2.02</v>
      </c>
      <c r="O62">
        <f t="shared" si="13"/>
        <v>1.74</v>
      </c>
      <c r="P62">
        <f t="shared" si="13"/>
        <v>1.46</v>
      </c>
      <c r="Q62">
        <f t="shared" si="13"/>
        <v>1.18</v>
      </c>
      <c r="R62">
        <f t="shared" si="13"/>
        <v>1.04</v>
      </c>
    </row>
    <row r="63" spans="7:18" ht="12.75">
      <c r="G63" t="s">
        <v>57</v>
      </c>
      <c r="I63" t="s">
        <v>167</v>
      </c>
      <c r="K63" t="s">
        <v>58</v>
      </c>
      <c r="L63">
        <v>0.0155</v>
      </c>
      <c r="M63">
        <v>0.0155</v>
      </c>
      <c r="N63">
        <v>0.0155</v>
      </c>
      <c r="O63">
        <v>0.0155</v>
      </c>
      <c r="P63">
        <v>0.0155</v>
      </c>
      <c r="Q63">
        <v>0.0155</v>
      </c>
      <c r="R63">
        <v>0.0155</v>
      </c>
    </row>
    <row r="64" spans="1:18" ht="12.75">
      <c r="A64" t="s">
        <v>150</v>
      </c>
      <c r="B64">
        <f>B40*F40+B42*F42+B43*F43+B44*F44+B45*F45+B46*F46+B47*F47+B48*F48+B53*F53+B54*F54+B56*F56+B57*F57</f>
        <v>86.53999999999999</v>
      </c>
      <c r="D64" t="s">
        <v>157</v>
      </c>
      <c r="G64">
        <f>1.88-0.0028*(L38-1723)</f>
        <v>2.58</v>
      </c>
      <c r="K64" t="s">
        <v>59</v>
      </c>
      <c r="L64">
        <f>-1.82+0.0016*(L38-1723)</f>
        <v>-2.22</v>
      </c>
      <c r="M64">
        <f aca="true" t="shared" si="14" ref="M64:R64">-1.82+0.0016*(M38-1723)</f>
        <v>-2.06</v>
      </c>
      <c r="N64">
        <f t="shared" si="14"/>
        <v>-1.9000000000000001</v>
      </c>
      <c r="O64">
        <f t="shared" si="14"/>
        <v>-1.74</v>
      </c>
      <c r="P64">
        <f t="shared" si="14"/>
        <v>-1.58</v>
      </c>
      <c r="Q64">
        <f t="shared" si="14"/>
        <v>-1.42</v>
      </c>
      <c r="R64">
        <f t="shared" si="14"/>
        <v>-1.34</v>
      </c>
    </row>
    <row r="65" spans="1:18" ht="12.75">
      <c r="A65" t="s">
        <v>151</v>
      </c>
      <c r="B65">
        <f>B39*F39+B49*F49+B50*F50</f>
        <v>54.76</v>
      </c>
      <c r="K65" t="s">
        <v>161</v>
      </c>
      <c r="L65">
        <f>L62*B71+L63*B41+L64</f>
        <v>1.9503046018991959</v>
      </c>
      <c r="M65">
        <f>M62*B71+M63*B41+M64</f>
        <v>1.6678064280496705</v>
      </c>
      <c r="N65">
        <f>N62*B71+N63*B41+N64</f>
        <v>1.3853082542001458</v>
      </c>
      <c r="O65">
        <f>O62*B71+O63*B41+O64</f>
        <v>1.1028100803506204</v>
      </c>
      <c r="P65">
        <f>P62*B71+P63*B41+P64</f>
        <v>0.8203119065010953</v>
      </c>
      <c r="Q65">
        <f>Q62*B71+Q63*B41+Q64</f>
        <v>0.5378137326515702</v>
      </c>
      <c r="R65">
        <f>R62*B71+R63*B41+R64</f>
        <v>0.3965646457268077</v>
      </c>
    </row>
    <row r="66" spans="1:18" ht="12.75">
      <c r="A66" t="s">
        <v>152</v>
      </c>
      <c r="K66" t="s">
        <v>162</v>
      </c>
      <c r="L66">
        <f>(B64+B52*F52+B55*L87)/(B65+B41*L65)</f>
        <v>1.3366364653008296</v>
      </c>
      <c r="M66">
        <f>(B64+B52*F52+B55*M87)/(B65+B41*M65)</f>
        <v>1.371488841253238</v>
      </c>
      <c r="N66">
        <f>(B64+B52*F52+B55*N87)/(B65+B41*N65)</f>
        <v>1.408303087553771</v>
      </c>
      <c r="O66">
        <f>(B64+B52*F52+B55*O87)/(B65+B41*O65)</f>
        <v>1.4472408038346072</v>
      </c>
      <c r="P66">
        <f>(B64+B52*F52+B55*P87)/(B65+B41*P65)</f>
        <v>1.4884839126690146</v>
      </c>
      <c r="Q66">
        <f>(B64+B52*F52+B55*Q87)/(B65+B41*Q65)</f>
        <v>1.5322376848792048</v>
      </c>
      <c r="R66">
        <f>(B64+B52*F52+B55*R87)/(B65+B41*R65)</f>
        <v>1.5551274929317582</v>
      </c>
    </row>
    <row r="67" ht="12.75">
      <c r="A67" t="s">
        <v>153</v>
      </c>
    </row>
    <row r="68" ht="12.75">
      <c r="A68" t="s">
        <v>154</v>
      </c>
    </row>
    <row r="69" spans="1:18" ht="12.75">
      <c r="A69" t="s">
        <v>155</v>
      </c>
      <c r="I69" t="s">
        <v>165</v>
      </c>
      <c r="K69" t="s">
        <v>57</v>
      </c>
      <c r="L69">
        <f>90.57-0.1182*(L38-273)+4*10^-5*(L38-273)^2</f>
        <v>6.329999999999991</v>
      </c>
      <c r="M69">
        <f aca="true" t="shared" si="15" ref="M69:R69">90.57-0.1182*(M38-273)+4*10^-5*(M38-273)^2</f>
        <v>4.510000000000005</v>
      </c>
      <c r="N69">
        <f t="shared" si="15"/>
        <v>3.490000000000009</v>
      </c>
      <c r="O69">
        <f t="shared" si="15"/>
        <v>3.269999999999996</v>
      </c>
      <c r="P69">
        <f t="shared" si="15"/>
        <v>3.8499999999999943</v>
      </c>
      <c r="Q69">
        <f t="shared" si="15"/>
        <v>5.230000000000004</v>
      </c>
      <c r="R69">
        <f t="shared" si="15"/>
        <v>6.220000000000013</v>
      </c>
    </row>
    <row r="70" spans="1:18" ht="12.75">
      <c r="A70" t="s">
        <v>156</v>
      </c>
      <c r="I70" t="s">
        <v>167</v>
      </c>
      <c r="K70" t="s">
        <v>58</v>
      </c>
      <c r="L70">
        <f>-0.205+0.0001*L38</f>
        <v>-0.057699999999999974</v>
      </c>
      <c r="M70">
        <f aca="true" t="shared" si="16" ref="M70:R70">-0.205+0.0001*M38</f>
        <v>-0.04769999999999999</v>
      </c>
      <c r="N70">
        <f t="shared" si="16"/>
        <v>-0.037699999999999984</v>
      </c>
      <c r="O70">
        <f t="shared" si="16"/>
        <v>-0.027699999999999975</v>
      </c>
      <c r="P70">
        <f t="shared" si="16"/>
        <v>-0.017699999999999966</v>
      </c>
      <c r="Q70">
        <f t="shared" si="16"/>
        <v>-0.007699999999999985</v>
      </c>
      <c r="R70">
        <f t="shared" si="16"/>
        <v>-0.00269999999999998</v>
      </c>
    </row>
    <row r="71" spans="1:18" ht="12.75">
      <c r="A71" t="s">
        <v>160</v>
      </c>
      <c r="B71">
        <f>B64/B65</f>
        <v>1.5803506208911613</v>
      </c>
      <c r="K71" t="s">
        <v>59</v>
      </c>
      <c r="L71">
        <f>-55.12+6.71*10^-2*(L38-273)-2.2*10^-5*(L38-273)^2</f>
        <v>-6.2799999999999905</v>
      </c>
      <c r="M71">
        <f aca="true" t="shared" si="17" ref="M71:R71">-55.12+6.71*10^-2*(M38-273)-2.2*10^-5*(M38-273)^2</f>
        <v>-5.07</v>
      </c>
      <c r="N71">
        <f t="shared" si="17"/>
        <v>-4.29999999999999</v>
      </c>
      <c r="O71">
        <f t="shared" si="17"/>
        <v>-3.969999999999999</v>
      </c>
      <c r="P71">
        <f t="shared" si="17"/>
        <v>-4.079999999999991</v>
      </c>
      <c r="Q71">
        <f t="shared" si="17"/>
        <v>-4.6299999999999955</v>
      </c>
      <c r="R71">
        <f t="shared" si="17"/>
        <v>-5.07</v>
      </c>
    </row>
    <row r="72" spans="1:18" ht="12.75">
      <c r="A72" t="s">
        <v>160</v>
      </c>
      <c r="K72" t="s">
        <v>166</v>
      </c>
      <c r="L72">
        <f>L69*B71+L70*B4+L71</f>
        <v>3.7171852223835202</v>
      </c>
      <c r="M72">
        <f>M69*B71+M70*B4+M71</f>
        <v>2.0520622063750533</v>
      </c>
      <c r="N72">
        <f>N69*B71+N70*B4+N71</f>
        <v>1.211219687079522</v>
      </c>
      <c r="O72">
        <f>O69*B71+O70*B4+O71</f>
        <v>1.1946576644968738</v>
      </c>
      <c r="P72">
        <f>P69*B71+P70*B4+P71</f>
        <v>2.0023761386271888</v>
      </c>
      <c r="Q72">
        <f>Q69*B71+Q70*B4+Q71</f>
        <v>3.6343751094704384</v>
      </c>
      <c r="R72">
        <f>R69*B71+R70*B4+R71</f>
        <v>4.759479781159417</v>
      </c>
    </row>
    <row r="73" spans="11:18" ht="12.75">
      <c r="K73" t="s">
        <v>162</v>
      </c>
      <c r="L73">
        <f>B64/(B65+B41*L72)</f>
        <v>1.122975681900358</v>
      </c>
      <c r="M73">
        <f>B64/(B65+B41*M72)</f>
        <v>1.290248068196394</v>
      </c>
      <c r="N73">
        <f>B64/(B65+B41*N72)</f>
        <v>1.3951917093871593</v>
      </c>
      <c r="O73">
        <f>B64/(B65+B41*O72)</f>
        <v>1.3974304915295075</v>
      </c>
      <c r="P73">
        <f>B64/(B65+B41*P72)</f>
        <v>1.2960084335799709</v>
      </c>
      <c r="Q73">
        <f>B64/(B65+B41*Q72)</f>
        <v>1.1302629978302148</v>
      </c>
      <c r="R73">
        <f>B64/(B65+B41*R72)</f>
        <v>1.038685094351093</v>
      </c>
    </row>
    <row r="76" spans="9:18" ht="12.75">
      <c r="I76" t="s">
        <v>169</v>
      </c>
      <c r="K76" t="s">
        <v>57</v>
      </c>
      <c r="L76">
        <f>3.052-0.0011*L38</f>
        <v>1.4317</v>
      </c>
      <c r="M76">
        <f aca="true" t="shared" si="18" ref="M76:R76">3.052-0.0011*M38</f>
        <v>1.3216999999999999</v>
      </c>
      <c r="N76">
        <f t="shared" si="18"/>
        <v>1.2117</v>
      </c>
      <c r="O76">
        <f t="shared" si="18"/>
        <v>1.1017</v>
      </c>
      <c r="P76">
        <f t="shared" si="18"/>
        <v>0.9916999999999998</v>
      </c>
      <c r="Q76">
        <f t="shared" si="18"/>
        <v>0.8816999999999999</v>
      </c>
      <c r="R76">
        <f t="shared" si="18"/>
        <v>0.8266999999999998</v>
      </c>
    </row>
    <row r="77" spans="9:18" ht="12.75">
      <c r="I77" t="s">
        <v>170</v>
      </c>
      <c r="K77" t="s">
        <v>58</v>
      </c>
      <c r="L77">
        <f>-0.205+0.000112*L38</f>
        <v>-0.040024000000000004</v>
      </c>
      <c r="M77">
        <f aca="true" t="shared" si="19" ref="M77:R77">-0.205+0.000112*M38</f>
        <v>-0.02882399999999999</v>
      </c>
      <c r="N77">
        <f t="shared" si="19"/>
        <v>-0.017624</v>
      </c>
      <c r="O77">
        <f t="shared" si="19"/>
        <v>-0.006423999999999985</v>
      </c>
      <c r="P77">
        <f t="shared" si="19"/>
        <v>0.0047760000000000025</v>
      </c>
      <c r="Q77">
        <f t="shared" si="19"/>
        <v>0.015976000000000018</v>
      </c>
      <c r="R77">
        <f t="shared" si="19"/>
        <v>0.021576000000000012</v>
      </c>
    </row>
    <row r="78" spans="11:18" ht="12.75">
      <c r="K78" t="s">
        <v>59</v>
      </c>
      <c r="L78" s="13">
        <f>2.553-0.002*L38</f>
        <v>-0.39300000000000024</v>
      </c>
      <c r="M78">
        <f aca="true" t="shared" si="20" ref="M78:R78">2.553-0.002*M38</f>
        <v>-0.593</v>
      </c>
      <c r="N78">
        <f t="shared" si="20"/>
        <v>-0.7930000000000001</v>
      </c>
      <c r="O78">
        <f t="shared" si="20"/>
        <v>-0.9930000000000003</v>
      </c>
      <c r="P78">
        <f t="shared" si="20"/>
        <v>-1.193</v>
      </c>
      <c r="Q78">
        <f t="shared" si="20"/>
        <v>-1.3930000000000002</v>
      </c>
      <c r="R78">
        <f t="shared" si="20"/>
        <v>-1.4930000000000003</v>
      </c>
    </row>
    <row r="79" spans="11:18" ht="12.75">
      <c r="K79" t="s">
        <v>166</v>
      </c>
      <c r="L79">
        <f>L76*B71+L77*B41+L78</f>
        <v>1.6294439839298756</v>
      </c>
      <c r="M79">
        <f>M76*B71+M77*B41+M78</f>
        <v>1.3228054156318476</v>
      </c>
      <c r="N79">
        <f>N76*B71+N77*B41+N78</f>
        <v>1.01616684733382</v>
      </c>
      <c r="O79">
        <f>O76*B71+O77*B41+O78</f>
        <v>0.709528279035792</v>
      </c>
      <c r="P79">
        <f>P76*B71+P77*B41+P78</f>
        <v>0.40288971073776425</v>
      </c>
      <c r="Q79">
        <f>Q76*B71+Q77*B41+Q78</f>
        <v>0.09625114243973676</v>
      </c>
      <c r="R79">
        <f>R76*B71+R77*B41+R78</f>
        <v>-0.05706814170927754</v>
      </c>
    </row>
    <row r="80" spans="11:18" ht="12.75">
      <c r="K80" t="s">
        <v>171</v>
      </c>
      <c r="L80">
        <f>B64/(B65+B41*L79)</f>
        <v>1.3409431905140734</v>
      </c>
      <c r="M80">
        <f>B64/(B65+B41*M79)</f>
        <v>1.3802930157368016</v>
      </c>
      <c r="N80">
        <f>B64/(B65+B41*N79)</f>
        <v>1.4220220920933317</v>
      </c>
      <c r="O80">
        <f>B64/(B65+B41*O79)</f>
        <v>1.4663529355561467</v>
      </c>
      <c r="P80">
        <f>B64/(B65+B41*B79)</f>
        <v>1.5803506208911613</v>
      </c>
      <c r="Q80">
        <f>B64/(B65+B41*Q79)</f>
        <v>1.5638579494975235</v>
      </c>
      <c r="R80">
        <f>B64/(B65+B41*R79)</f>
        <v>1.590294575183646</v>
      </c>
    </row>
    <row r="83" spans="8:18" ht="12.75">
      <c r="H83" t="s">
        <v>180</v>
      </c>
      <c r="I83" t="s">
        <v>176</v>
      </c>
      <c r="J83" t="s">
        <v>176</v>
      </c>
      <c r="K83" t="s">
        <v>57</v>
      </c>
      <c r="L83">
        <f aca="true" t="shared" si="21" ref="L83:R83">2.2*0.001*(L38-273)-4.51</f>
        <v>-1.8699999999999997</v>
      </c>
      <c r="M83">
        <f t="shared" si="21"/>
        <v>-1.6499999999999995</v>
      </c>
      <c r="N83">
        <f t="shared" si="21"/>
        <v>-1.4299999999999997</v>
      </c>
      <c r="O83">
        <f t="shared" si="21"/>
        <v>-1.2099999999999995</v>
      </c>
      <c r="P83">
        <f t="shared" si="21"/>
        <v>-0.9899999999999998</v>
      </c>
      <c r="Q83">
        <f t="shared" si="21"/>
        <v>-0.7699999999999996</v>
      </c>
      <c r="R83">
        <f t="shared" si="21"/>
        <v>-0.6599999999999997</v>
      </c>
    </row>
    <row r="84" spans="10:18" ht="12.75">
      <c r="J84" s="20" t="s">
        <v>178</v>
      </c>
      <c r="K84" t="s">
        <v>58</v>
      </c>
      <c r="L84">
        <f>0.6843-9.961*10^-4*(L38-273)+3.578*10^-7*(L38-273)^2</f>
        <v>0.0042120000000001045</v>
      </c>
      <c r="M84">
        <f aca="true" t="shared" si="22" ref="M84:R84">0.6843-9.961*10^-4*(M38-273)+3.578*10^-7*(M38-273)^2</f>
        <v>-0.005947999999999953</v>
      </c>
      <c r="N84">
        <f t="shared" si="22"/>
        <v>-0.008951999999999849</v>
      </c>
      <c r="O84">
        <f t="shared" si="22"/>
        <v>-0.0047999999999999154</v>
      </c>
      <c r="P84">
        <f t="shared" si="22"/>
        <v>0.006507999999999958</v>
      </c>
      <c r="Q84">
        <f t="shared" si="22"/>
        <v>0.024971999999999994</v>
      </c>
      <c r="R84">
        <f t="shared" si="22"/>
        <v>0.03688749999999996</v>
      </c>
    </row>
    <row r="85" spans="11:18" ht="12.75">
      <c r="K85" t="s">
        <v>59</v>
      </c>
      <c r="L85">
        <f>-12.22-10^-5*(L38-273)^2+2.45*10^-2*(L38-273)</f>
        <v>2.780000000000001</v>
      </c>
      <c r="M85">
        <f aca="true" t="shared" si="23" ref="M85:R85">-12.22-10^-5*(M38-273)^2+2.45*10^-2*(M38-273)</f>
        <v>2.729999999999997</v>
      </c>
      <c r="N85">
        <f t="shared" si="23"/>
        <v>2.480000000000004</v>
      </c>
      <c r="O85">
        <f t="shared" si="23"/>
        <v>2.029999999999994</v>
      </c>
      <c r="P85">
        <f t="shared" si="23"/>
        <v>1.3800000000000026</v>
      </c>
      <c r="Q85">
        <f t="shared" si="23"/>
        <v>0.529999999999994</v>
      </c>
      <c r="R85">
        <f t="shared" si="23"/>
        <v>0.02999999999999403</v>
      </c>
    </row>
    <row r="86" spans="11:18" ht="12.75">
      <c r="K86" t="s">
        <v>177</v>
      </c>
      <c r="L86">
        <f>L83*B71+L84*B55+L85</f>
        <v>-0.17104366106647007</v>
      </c>
      <c r="M86">
        <f>M83*B71+M84*B55+M85</f>
        <v>0.11647347552958154</v>
      </c>
      <c r="N86">
        <f>N83*B71+N84*B55+N85</f>
        <v>0.21114661212564378</v>
      </c>
      <c r="O86">
        <f>O83*B71+O84*B55+O85</f>
        <v>0.1129757487216898</v>
      </c>
      <c r="P86">
        <f>P83*B71+P84*B55+P85</f>
        <v>-0.17803911468224687</v>
      </c>
      <c r="Q86">
        <f>Q83*B71+Q84*B55+Q85</f>
        <v>-0.6618979780861995</v>
      </c>
      <c r="R86">
        <f>R83*B71+R84*B55+R85</f>
        <v>-0.9761439097881719</v>
      </c>
    </row>
    <row r="87" spans="11:18" ht="12.75">
      <c r="K87" t="s">
        <v>162</v>
      </c>
      <c r="L87">
        <f>B64/(B65+B55*L86)</f>
        <v>1.5853023359283127</v>
      </c>
      <c r="M87">
        <f>B64/(B65+B55*M86)</f>
        <v>1.5769963796706026</v>
      </c>
      <c r="N87">
        <f>B64/(B65+B55*N86)</f>
        <v>1.5742804240672474</v>
      </c>
      <c r="O87">
        <f>B64/(B65+B55*O86)</f>
        <v>1.5770969009643334</v>
      </c>
      <c r="P87">
        <f>B64/(B65+B55*P86)</f>
        <v>1.5855055149416368</v>
      </c>
      <c r="Q87">
        <f>B64/(B65+B55*Q86)</f>
        <v>1.599686435670974</v>
      </c>
      <c r="R87">
        <f>B64/(B65+B55*R86)</f>
        <v>1.6090330127101</v>
      </c>
    </row>
    <row r="89" spans="10:18" ht="12.75">
      <c r="J89" t="s">
        <v>176</v>
      </c>
      <c r="K89" t="s">
        <v>57</v>
      </c>
      <c r="L89">
        <f>-52.41+6.46*10^-2*(L38-273)-2*10^-5*(L38-273)^2</f>
        <v>-3.689999999999987</v>
      </c>
      <c r="M89">
        <f aca="true" t="shared" si="24" ref="M89:R89">-52.41+6.46*10^-2*(M38-273)-2*10^-5*(M38-273)^2</f>
        <v>-2.229999999999997</v>
      </c>
      <c r="N89">
        <f t="shared" si="24"/>
        <v>-1.1699999999999875</v>
      </c>
      <c r="O89">
        <f t="shared" si="24"/>
        <v>-0.509999999999998</v>
      </c>
      <c r="P89">
        <f t="shared" si="24"/>
        <v>-0.2499999999999858</v>
      </c>
      <c r="Q89">
        <f t="shared" si="24"/>
        <v>-0.38999999999999346</v>
      </c>
      <c r="R89">
        <f t="shared" si="24"/>
        <v>-0.6099999999999923</v>
      </c>
    </row>
    <row r="90" spans="10:18" ht="12.75">
      <c r="J90" t="s">
        <v>179</v>
      </c>
      <c r="K90" t="s">
        <v>58</v>
      </c>
      <c r="L90">
        <f>-0.5533+8.143*10^-4*(L38-273)-2.98*10^-7*(L38-273)^2</f>
        <v>-0.005259999999999876</v>
      </c>
      <c r="M90">
        <f aca="true" t="shared" si="25" ref="M90:R90">-0.5533+8.143*10^-4*(M38-273)-2.98*10^-7*(M38-273)^2</f>
        <v>0.0016700000000001713</v>
      </c>
      <c r="N90">
        <f t="shared" si="25"/>
        <v>0.0026400000000001977</v>
      </c>
      <c r="O90">
        <f t="shared" si="25"/>
        <v>-0.002349999999999852</v>
      </c>
      <c r="P90">
        <f t="shared" si="25"/>
        <v>-0.013299999999999756</v>
      </c>
      <c r="Q90">
        <f t="shared" si="25"/>
        <v>-0.030209999999999848</v>
      </c>
      <c r="R90">
        <f t="shared" si="25"/>
        <v>-0.040899999999999825</v>
      </c>
    </row>
    <row r="91" spans="11:18" ht="12.75">
      <c r="K91" t="s">
        <v>59</v>
      </c>
      <c r="L91">
        <f>-8.4*10^-3*(L38-273)+13.56</f>
        <v>3.4799999999999986</v>
      </c>
      <c r="M91">
        <f aca="true" t="shared" si="26" ref="M91:R91">-8.4*10^-3*(M38-273)+13.56</f>
        <v>2.639999999999999</v>
      </c>
      <c r="N91">
        <f t="shared" si="26"/>
        <v>1.799999999999999</v>
      </c>
      <c r="O91">
        <f t="shared" si="26"/>
        <v>0.9599999999999991</v>
      </c>
      <c r="P91">
        <f t="shared" si="26"/>
        <v>0.11999999999999922</v>
      </c>
      <c r="Q91">
        <f t="shared" si="26"/>
        <v>-0.7200000000000024</v>
      </c>
      <c r="R91">
        <f t="shared" si="26"/>
        <v>-1.1400000000000023</v>
      </c>
    </row>
    <row r="92" spans="11:18" ht="12.75">
      <c r="K92" t="s">
        <v>177</v>
      </c>
      <c r="L92">
        <f>L89*B71+L90*B55+L91</f>
        <v>-2.356753791088366</v>
      </c>
      <c r="M92">
        <f>M89*B71+M90*B55+M91</f>
        <v>-0.8825118845872857</v>
      </c>
      <c r="N92">
        <f>N89*B71+N90*B55+N91</f>
        <v>-0.04637022644263977</v>
      </c>
      <c r="O92">
        <f>O89*B71+O90*B55+O91</f>
        <v>0.1516711833455101</v>
      </c>
      <c r="P92">
        <f>P89*B71+P90*B55+P91</f>
        <v>-0.2883876552227684</v>
      </c>
      <c r="Q92">
        <f>Q89*B71+Q90*B55+Q91</f>
        <v>-1.3665467421475448</v>
      </c>
      <c r="R92">
        <f>R89*B71+R90*B55+R91</f>
        <v>-2.1449138787435986</v>
      </c>
    </row>
    <row r="93" spans="11:18" ht="12.75">
      <c r="K93" t="s">
        <v>162</v>
      </c>
      <c r="L93">
        <f>B64/(B65+B55*L92)</f>
        <v>1.651424410903825</v>
      </c>
      <c r="M93">
        <f>B64/(B65+B55*M92)</f>
        <v>1.6062367238543092</v>
      </c>
      <c r="N93">
        <f>B64/(B65+B55*N92)</f>
        <v>1.5816899803241358</v>
      </c>
      <c r="O93">
        <f>B64/(B65+B55*O92)</f>
        <v>1.575985544330824</v>
      </c>
      <c r="P93">
        <f>B64/(B65+B55*P92)</f>
        <v>1.58871743050759</v>
      </c>
      <c r="Q93">
        <f>B64/(B65+B55*Q92)</f>
        <v>1.6207979577959353</v>
      </c>
      <c r="R93">
        <f>B64/(B65+B55*R92)</f>
        <v>1.6447754129026884</v>
      </c>
    </row>
    <row r="96" spans="10:18" ht="12.75">
      <c r="J96" t="s">
        <v>181</v>
      </c>
      <c r="K96" t="s">
        <v>57</v>
      </c>
      <c r="L96">
        <f>2.655-0.0013*L38</f>
        <v>0.7401</v>
      </c>
      <c r="M96">
        <f aca="true" t="shared" si="27" ref="M96:R96">2.655-0.0013*M38</f>
        <v>0.6101000000000001</v>
      </c>
      <c r="N96">
        <f t="shared" si="27"/>
        <v>0.48009999999999975</v>
      </c>
      <c r="O96">
        <f t="shared" si="27"/>
        <v>0.35009999999999986</v>
      </c>
      <c r="P96">
        <f t="shared" si="27"/>
        <v>0.22009999999999996</v>
      </c>
      <c r="Q96">
        <f t="shared" si="27"/>
        <v>0.09010000000000007</v>
      </c>
      <c r="R96">
        <f t="shared" si="27"/>
        <v>0.025100000000000122</v>
      </c>
    </row>
    <row r="97" spans="11:18" ht="12.75">
      <c r="K97" t="s">
        <v>58</v>
      </c>
      <c r="L97">
        <f>8.727-0.0067*L38</f>
        <v>-1.1420999999999992</v>
      </c>
      <c r="M97">
        <f aca="true" t="shared" si="28" ref="M97:R97">8.727-0.0067*M38</f>
        <v>-1.8120999999999992</v>
      </c>
      <c r="N97">
        <f t="shared" si="28"/>
        <v>-2.482100000000001</v>
      </c>
      <c r="O97">
        <f t="shared" si="28"/>
        <v>-3.152100000000001</v>
      </c>
      <c r="P97">
        <f t="shared" si="28"/>
        <v>-3.8221000000000007</v>
      </c>
      <c r="Q97">
        <f t="shared" si="28"/>
        <v>-4.492100000000001</v>
      </c>
      <c r="R97">
        <f t="shared" si="28"/>
        <v>-4.8271</v>
      </c>
    </row>
    <row r="98" spans="11:18" ht="12.75">
      <c r="K98" t="s">
        <v>59</v>
      </c>
      <c r="L98">
        <f>-10.608+0.0088*L38</f>
        <v>2.3544</v>
      </c>
      <c r="M98">
        <f aca="true" t="shared" si="29" ref="M98:R98">-10.608+0.0088*M38</f>
        <v>3.234400000000001</v>
      </c>
      <c r="N98">
        <f t="shared" si="29"/>
        <v>4.1144</v>
      </c>
      <c r="O98">
        <f t="shared" si="29"/>
        <v>4.994400000000001</v>
      </c>
      <c r="P98">
        <f t="shared" si="29"/>
        <v>5.874400000000001</v>
      </c>
      <c r="Q98">
        <f t="shared" si="29"/>
        <v>6.7544</v>
      </c>
      <c r="R98">
        <f t="shared" si="29"/>
        <v>7.194400000000002</v>
      </c>
    </row>
    <row r="99" spans="11:18" ht="12.75">
      <c r="K99" t="s">
        <v>183</v>
      </c>
      <c r="L99">
        <f>2.977-0.0029*L38</f>
        <v>-1.2947000000000002</v>
      </c>
      <c r="M99">
        <f aca="true" t="shared" si="30" ref="M99:R99">2.977-0.0029*M38</f>
        <v>-1.5847000000000002</v>
      </c>
      <c r="N99">
        <f t="shared" si="30"/>
        <v>-1.8746999999999994</v>
      </c>
      <c r="O99">
        <f t="shared" si="30"/>
        <v>-2.1646999999999994</v>
      </c>
      <c r="P99">
        <f t="shared" si="30"/>
        <v>-2.4546999999999994</v>
      </c>
      <c r="Q99">
        <f t="shared" si="30"/>
        <v>-2.7446999999999995</v>
      </c>
      <c r="R99">
        <f t="shared" si="30"/>
        <v>-2.8897</v>
      </c>
    </row>
    <row r="100" spans="11:18" ht="12.75">
      <c r="K100" t="s">
        <v>182</v>
      </c>
      <c r="L100">
        <f>L96*B71+L97*10^-4*(B51)^2+L98*10^-2*B51+L99</f>
        <v>-0.10165271547845167</v>
      </c>
      <c r="M100">
        <f>M96*B71+M97*10^-4*(B51)^2+M98*10^-2*B51+M99</f>
        <v>-0.5883652961943026</v>
      </c>
      <c r="N100">
        <f>N96*B71+N97*10^-4*(B51)^2+N98*10^-2*B51+N99</f>
        <v>-1.0750778769101532</v>
      </c>
      <c r="O100">
        <f>O96*B71+O97*10^-4*(B51)^2+O98*10^-2*B51+O99</f>
        <v>-1.561790457626004</v>
      </c>
      <c r="P100">
        <f>P96*B71+P97*10^-4*(B51)^2+P98*10^-2*B51+P99</f>
        <v>-2.0485030383418548</v>
      </c>
      <c r="Q100">
        <f>Q96*B71+Q97*10^-4*(B51)^2+Q98*10^-2*B51+Q99</f>
        <v>-2.5352156190577055</v>
      </c>
      <c r="R100">
        <f>R96*B71+R97*10^-4*(B51)^2+R98*10^-2*B51+R99</f>
        <v>-2.7785719094156316</v>
      </c>
    </row>
    <row r="101" spans="11:18" ht="12.75">
      <c r="K101" t="s">
        <v>162</v>
      </c>
      <c r="L101">
        <f>(B64+B52*F52+B55*L55)/(B65+B41*L65+B51*L100)</f>
        <v>1.3151273740881615</v>
      </c>
      <c r="M101">
        <f>(B64+B52*F52+B55*M55)/(B65+B41*M65+B51*M100)</f>
        <v>1.3597665852718142</v>
      </c>
      <c r="N101">
        <f>(B64+B52*F52+B55*N55)/(B65+B41*N65+B51*N100)</f>
        <v>1.4075674009855363</v>
      </c>
      <c r="O101">
        <f>(B64+B52*F52+B55*O55)/(B65+B41*O65+B51*O100)</f>
        <v>1.458868739763826</v>
      </c>
      <c r="P101">
        <f>(B64+B52*F52+B55*P55)/(B65+B41*P65+B51*P100)</f>
        <v>1.51406367429022</v>
      </c>
      <c r="Q101">
        <f>(B64+B52*F52+B55*Q55)/(B65+B41*Q65+B51*Q100)</f>
        <v>1.5736088246869224</v>
      </c>
      <c r="R101">
        <f>(B64+B52*F52+B55*R55)/(B65+B41*R65+B51*R100)</f>
        <v>1.6051757616600666</v>
      </c>
    </row>
    <row r="105" spans="1:6" ht="12.75">
      <c r="A105" s="4" t="s">
        <v>239</v>
      </c>
      <c r="D105" s="4" t="s">
        <v>251</v>
      </c>
      <c r="E105" t="s">
        <v>175</v>
      </c>
      <c r="F105" t="s">
        <v>175</v>
      </c>
    </row>
    <row r="106" spans="5:6" ht="12.75">
      <c r="E106" t="s">
        <v>250</v>
      </c>
      <c r="F106" t="s">
        <v>40</v>
      </c>
    </row>
    <row r="107" spans="1:6" ht="12.75">
      <c r="A107" t="s">
        <v>241</v>
      </c>
      <c r="B107">
        <f>C39</f>
        <v>0.4000171641944302</v>
      </c>
      <c r="D107" s="7">
        <f aca="true" t="shared" si="31" ref="D107:D113">D19</f>
        <v>1473</v>
      </c>
      <c r="E107" s="4">
        <f>B122*D107*EXP(1000*B120/D107)</f>
        <v>18.848906173204952</v>
      </c>
      <c r="F107" s="4">
        <f>E107/10</f>
        <v>1.8848906173204951</v>
      </c>
    </row>
    <row r="108" spans="1:6" ht="12.75">
      <c r="A108" t="s">
        <v>240</v>
      </c>
      <c r="B108">
        <f>C40+C42+C43+C44+C45+C46+C47+3*C48+2*(C49+C50)+3*0.6*(C52+C55)</f>
        <v>0.764003357266354</v>
      </c>
      <c r="D108" s="7">
        <f t="shared" si="31"/>
        <v>1573</v>
      </c>
      <c r="E108" s="4">
        <f>B122*D108*EXP(1000*B120/D108)</f>
        <v>9.08851888000792</v>
      </c>
      <c r="F108" s="4">
        <f aca="true" t="shared" si="32" ref="F108:F113">E108/10</f>
        <v>0.908851888000792</v>
      </c>
    </row>
    <row r="109" spans="1:6" ht="12.75">
      <c r="A109" t="s">
        <v>34</v>
      </c>
      <c r="B109">
        <f>(C41+C51+0.4*(C52+C55))</f>
        <v>0.050820026424438114</v>
      </c>
      <c r="D109" s="7">
        <f t="shared" si="31"/>
        <v>1673</v>
      </c>
      <c r="E109" s="4">
        <f>B122*D109*EXP(1000*B120/D109)</f>
        <v>4.799795451313814</v>
      </c>
      <c r="F109" s="4">
        <f t="shared" si="32"/>
        <v>0.4799795451313814</v>
      </c>
    </row>
    <row r="110" spans="1:6" ht="12.75">
      <c r="A110" t="s">
        <v>243</v>
      </c>
      <c r="B110">
        <f>1+2*C48+C49+C50+(C52+C55)</f>
        <v>1.2131746574031654</v>
      </c>
      <c r="D110" s="7">
        <f t="shared" si="31"/>
        <v>1773</v>
      </c>
      <c r="E110" s="4">
        <f>B122*D110*EXP(1000*B120/D110)</f>
        <v>2.733344198719221</v>
      </c>
      <c r="F110" s="4">
        <f t="shared" si="32"/>
        <v>0.2733344198719221</v>
      </c>
    </row>
    <row r="111" spans="4:6" ht="12.75">
      <c r="D111" s="7">
        <f t="shared" si="31"/>
        <v>1873</v>
      </c>
      <c r="E111" s="4">
        <f>B122*D111*EXP(1000*B120/D111)</f>
        <v>1.6580028908382403</v>
      </c>
      <c r="F111" s="4">
        <f t="shared" si="32"/>
        <v>0.16580028908382402</v>
      </c>
    </row>
    <row r="112" spans="1:6" ht="12.75">
      <c r="A112" t="s">
        <v>244</v>
      </c>
      <c r="B112">
        <f>B107/B110</f>
        <v>0.3297275967259967</v>
      </c>
      <c r="D112" s="7">
        <f t="shared" si="31"/>
        <v>1973</v>
      </c>
      <c r="E112" s="4">
        <f>B122*D112*EXP(1000*B120/D112)</f>
        <v>1.0608647883189404</v>
      </c>
      <c r="F112" s="4">
        <f t="shared" si="32"/>
        <v>0.10608647883189404</v>
      </c>
    </row>
    <row r="113" spans="1:6" ht="12.75">
      <c r="A113" t="s">
        <v>245</v>
      </c>
      <c r="B113">
        <f>B108/B110</f>
        <v>0.6297554540924262</v>
      </c>
      <c r="D113" s="7">
        <f t="shared" si="31"/>
        <v>2023</v>
      </c>
      <c r="E113" s="4">
        <f>B122*D113*EXP(1000*B120/D113)</f>
        <v>0.8635719741423821</v>
      </c>
      <c r="F113" s="4">
        <f t="shared" si="32"/>
        <v>0.08635719741423821</v>
      </c>
    </row>
    <row r="114" spans="1:2" ht="12.75">
      <c r="A114" t="s">
        <v>246</v>
      </c>
      <c r="B114">
        <f>B109/B110</f>
        <v>0.041890115420989596</v>
      </c>
    </row>
    <row r="115" spans="1:7" ht="12.75">
      <c r="A115" t="s">
        <v>255</v>
      </c>
      <c r="B115">
        <f>B113/(B113+B114)</f>
        <v>0.9376306234680628</v>
      </c>
      <c r="E115" t="s">
        <v>197</v>
      </c>
      <c r="F115" t="s">
        <v>198</v>
      </c>
      <c r="G115" t="s">
        <v>203</v>
      </c>
    </row>
    <row r="116" spans="1:7" ht="12.75">
      <c r="A116" t="s">
        <v>242</v>
      </c>
      <c r="B116">
        <f>13.8+39.9355*B115-44.049*(B115)^2</f>
        <v>12.519017168526872</v>
      </c>
      <c r="E116">
        <f>13.2+41.5*B115-45*(B115)^2</f>
        <v>12.549867500994736</v>
      </c>
      <c r="F116">
        <f>13.2+15.9*B115-18.6*(B115)^2</f>
        <v>11.756114852331187</v>
      </c>
      <c r="G116">
        <f>13.2+20*B115-25.6*(B115)^2</f>
        <v>9.446342106094484</v>
      </c>
    </row>
    <row r="117" spans="1:7" ht="12.75">
      <c r="A117" t="s">
        <v>247</v>
      </c>
      <c r="B117">
        <f>30.481-117.15*B115+129.9978*(B115)^2</f>
        <v>34.92529251657116</v>
      </c>
      <c r="E117">
        <f>30.5-117.2*B115+130*(B115)^2</f>
        <v>34.899345118007105</v>
      </c>
      <c r="F117">
        <f>30.5-54.1*B115+33*(B115)^2</f>
        <v>8.786172410526369</v>
      </c>
      <c r="G117">
        <f>30.5+26*(B115)-56*(B115)^2</f>
        <v>5.645929790523574</v>
      </c>
    </row>
    <row r="118" spans="1:7" ht="12.75">
      <c r="A118" t="s">
        <v>248</v>
      </c>
      <c r="B118">
        <f>-40.9429+234.0486*B115-300.04*(B115)^2</f>
        <v>-85.27228712714788</v>
      </c>
      <c r="E118">
        <f>-40.4+232.1*B115-298.6*(B115)^2</f>
        <v>-85.29047645210397</v>
      </c>
      <c r="F118">
        <f>-40.4+138*B115-112*(B115)^2</f>
        <v>-9.471906800699458</v>
      </c>
      <c r="G118">
        <f>-40.4-110.3*B115+186.2*(B115)^2</f>
        <v>19.87729307679581</v>
      </c>
    </row>
    <row r="119" spans="1:7" ht="12.75">
      <c r="A119" t="s">
        <v>249</v>
      </c>
      <c r="B119">
        <f>60.7619-153.9276*B115+211.1616*(B115)^2</f>
        <v>102.07763953446334</v>
      </c>
      <c r="E119">
        <f>60.8-156.4*B115+213.6*(B115)^2</f>
        <v>101.9412638331021</v>
      </c>
      <c r="F119">
        <f>60.8-99.8*B115+97.6*(B115)^2</f>
        <v>53.029619537841896</v>
      </c>
      <c r="G119">
        <f>60.8+64.3*B115-104.6*(B115)^2</f>
        <v>29.130435026586113</v>
      </c>
    </row>
    <row r="120" spans="1:7" ht="12.75">
      <c r="A120" t="s">
        <v>85</v>
      </c>
      <c r="B120">
        <f>B116+B117*B112+B118*(B112)^2+B119*(B112)^3</f>
        <v>18.42330963238363</v>
      </c>
      <c r="E120">
        <f>E116+E117*B112+E118*(B112)^2+E119*(B112)^3</f>
        <v>18.43873803587729</v>
      </c>
      <c r="F120">
        <f>F116+F117*B112+F118*(B112)^2+F119*(B112)^3</f>
        <v>15.524379935988714</v>
      </c>
      <c r="G120">
        <f>G116+G117*B112+G118*(B112)^2+G119*(B112)^3</f>
        <v>14.513296140660106</v>
      </c>
    </row>
    <row r="121" spans="1:2" ht="12.75">
      <c r="A121" t="s">
        <v>193</v>
      </c>
      <c r="B121">
        <f>-(0.29*B124+11.57)</f>
        <v>-16.86594004705549</v>
      </c>
    </row>
    <row r="122" spans="1:2" ht="12.75">
      <c r="A122" t="s">
        <v>84</v>
      </c>
      <c r="B122">
        <f>EXP(B121)</f>
        <v>4.7338588617052437E-08</v>
      </c>
    </row>
    <row r="123" spans="1:2" ht="12.75">
      <c r="A123" t="s">
        <v>256</v>
      </c>
      <c r="B123">
        <f>C46+C47+C53+C52+C54+C55</f>
        <v>0.008329452410285012</v>
      </c>
    </row>
    <row r="124" spans="1:2" ht="12.75">
      <c r="A124" t="s">
        <v>257</v>
      </c>
      <c r="B124">
        <f>(E120*B126+F120*C42+B123*G120)/(B126+C42+B123)</f>
        <v>18.26186223122583</v>
      </c>
    </row>
    <row r="125" spans="1:5" ht="12.75">
      <c r="A125" t="s">
        <v>273</v>
      </c>
      <c r="B125">
        <f>B123+B126+C42</f>
        <v>0.4500719878488056</v>
      </c>
      <c r="E125">
        <f>0.3*2.303</f>
        <v>0.6909</v>
      </c>
    </row>
    <row r="126" spans="1:2" ht="12.75">
      <c r="A126" t="s">
        <v>274</v>
      </c>
      <c r="B126">
        <f>C40+C56+C57+C43+C44+C45</f>
        <v>0.4256463448063257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4"/>
  <sheetViews>
    <sheetView workbookViewId="0" topLeftCell="A3">
      <selection activeCell="M18" sqref="M18"/>
    </sheetView>
  </sheetViews>
  <sheetFormatPr defaultColWidth="9.140625" defaultRowHeight="12.75"/>
  <cols>
    <col min="14" max="14" width="12.421875" style="0" bestFit="1" customWidth="1"/>
  </cols>
  <sheetData>
    <row r="1" ht="12.75">
      <c r="B1" s="1"/>
    </row>
    <row r="2" spans="1:11" ht="12.75">
      <c r="A2" s="1"/>
      <c r="B2" t="s">
        <v>212</v>
      </c>
      <c r="C2" s="1"/>
      <c r="D2" s="1" t="s">
        <v>213</v>
      </c>
      <c r="E2" s="1" t="s">
        <v>214</v>
      </c>
      <c r="F2" s="1" t="s">
        <v>215</v>
      </c>
      <c r="H2" s="1"/>
      <c r="K2" s="1"/>
    </row>
    <row r="3" spans="3:16" ht="18.75">
      <c r="C3" s="8" t="s">
        <v>221</v>
      </c>
      <c r="D3" s="1"/>
      <c r="F3" t="s">
        <v>217</v>
      </c>
      <c r="G3" t="s">
        <v>216</v>
      </c>
      <c r="H3" s="8"/>
      <c r="I3" s="8" t="s">
        <v>218</v>
      </c>
      <c r="J3" s="8" t="s">
        <v>219</v>
      </c>
      <c r="L3" s="8" t="s">
        <v>220</v>
      </c>
      <c r="M3" s="8" t="s">
        <v>302</v>
      </c>
      <c r="N3" s="8" t="s">
        <v>303</v>
      </c>
      <c r="O3" s="8" t="s">
        <v>222</v>
      </c>
      <c r="P3" s="8" t="s">
        <v>301</v>
      </c>
    </row>
    <row r="4" spans="1:17" ht="12.75">
      <c r="A4" t="s">
        <v>196</v>
      </c>
      <c r="B4">
        <f>'Comp''n'!J4</f>
        <v>0.4000171641944302</v>
      </c>
      <c r="C4">
        <v>0.031</v>
      </c>
      <c r="D4" s="19">
        <v>260</v>
      </c>
      <c r="I4">
        <f>B4*D4</f>
        <v>104.00446269055185</v>
      </c>
      <c r="J4">
        <f>I4</f>
        <v>104.00446269055185</v>
      </c>
      <c r="L4" s="7">
        <f>'Comp''n'!B47</f>
        <v>1473</v>
      </c>
      <c r="M4" s="4">
        <f aca="true" t="shared" si="0" ref="M4:M10">$J$24-0.15*(L4-1773)</f>
        <v>197.59099728977418</v>
      </c>
      <c r="N4" s="4">
        <f>$J$24+$O$24*(L4-1773)</f>
        <v>166.00546588342846</v>
      </c>
      <c r="O4">
        <f>C4*B4</f>
        <v>0.012400532090027335</v>
      </c>
      <c r="P4" s="4">
        <f>$J$34-0.15*(L4-1773)</f>
        <v>300.80758644636626</v>
      </c>
      <c r="Q4" s="4">
        <f>$J$34+$O$24*(L4-1773)</f>
        <v>269.2220550400205</v>
      </c>
    </row>
    <row r="5" spans="1:17" ht="12.75">
      <c r="A5" t="s">
        <v>197</v>
      </c>
      <c r="B5">
        <f>'Comp''n'!J5</f>
        <v>0.31413494346269094</v>
      </c>
      <c r="C5">
        <v>-0.094</v>
      </c>
      <c r="D5">
        <v>625</v>
      </c>
      <c r="I5">
        <f>B5*D5</f>
        <v>196.33433966418184</v>
      </c>
      <c r="J5">
        <f>I5</f>
        <v>196.33433966418184</v>
      </c>
      <c r="L5" s="7">
        <f>'Comp''n'!B48</f>
        <v>1573</v>
      </c>
      <c r="M5" s="4">
        <f t="shared" si="0"/>
        <v>182.59099728977418</v>
      </c>
      <c r="N5" s="4">
        <f aca="true" t="shared" si="1" ref="N5:N10">$J$24+$O$24*(L5-1773)</f>
        <v>161.53397635221035</v>
      </c>
      <c r="O5">
        <f aca="true" t="shared" si="2" ref="O5:O23">C5*B5</f>
        <v>-0.02952868468549295</v>
      </c>
      <c r="P5" s="4">
        <f aca="true" t="shared" si="3" ref="P5:P10">$J$34-0.15*(L5-1773)</f>
        <v>285.80758644636626</v>
      </c>
      <c r="Q5" s="4">
        <f aca="true" t="shared" si="4" ref="Q5:Q10">$J$34+$O$24*(L5-1773)</f>
        <v>264.7505655088024</v>
      </c>
    </row>
    <row r="6" spans="1:17" ht="12.75">
      <c r="A6" t="s">
        <v>167</v>
      </c>
      <c r="B6">
        <f>'Comp''n'!J6</f>
        <v>0.038194886112509575</v>
      </c>
      <c r="C6">
        <f>-0.177</f>
        <v>-0.177</v>
      </c>
      <c r="D6">
        <v>655</v>
      </c>
      <c r="I6">
        <f>B6*D6</f>
        <v>25.01765040369377</v>
      </c>
      <c r="J6">
        <f>I6</f>
        <v>25.01765040369377</v>
      </c>
      <c r="L6" s="7">
        <f>'Comp''n'!B49</f>
        <v>1673</v>
      </c>
      <c r="M6" s="4">
        <f t="shared" si="0"/>
        <v>167.59099728977418</v>
      </c>
      <c r="N6" s="4">
        <f t="shared" si="1"/>
        <v>157.06248682099226</v>
      </c>
      <c r="O6">
        <f t="shared" si="2"/>
        <v>-0.006760494841914194</v>
      </c>
      <c r="P6" s="4">
        <f t="shared" si="3"/>
        <v>270.80758644636626</v>
      </c>
      <c r="Q6" s="4">
        <f t="shared" si="4"/>
        <v>260.27907597758434</v>
      </c>
    </row>
    <row r="7" spans="1:17" ht="12.75">
      <c r="A7" t="s">
        <v>198</v>
      </c>
      <c r="B7">
        <f>'Comp''n'!J7</f>
        <v>0.016096190632194897</v>
      </c>
      <c r="C7">
        <f>-0.13</f>
        <v>-0.13</v>
      </c>
      <c r="D7">
        <v>635</v>
      </c>
      <c r="I7">
        <f>B7*D7</f>
        <v>10.22108105144376</v>
      </c>
      <c r="J7">
        <f>I7</f>
        <v>10.22108105144376</v>
      </c>
      <c r="L7" s="7">
        <f>'Comp''n'!B50</f>
        <v>1773</v>
      </c>
      <c r="M7" s="4">
        <f t="shared" si="0"/>
        <v>152.59099728977418</v>
      </c>
      <c r="N7" s="4">
        <f t="shared" si="1"/>
        <v>152.59099728977418</v>
      </c>
      <c r="O7">
        <f t="shared" si="2"/>
        <v>-0.0020925047821853367</v>
      </c>
      <c r="P7" s="4">
        <f t="shared" si="3"/>
        <v>255.80758644636626</v>
      </c>
      <c r="Q7" s="4">
        <f t="shared" si="4"/>
        <v>255.80758644636626</v>
      </c>
    </row>
    <row r="8" spans="1:17" ht="12.75">
      <c r="A8" t="s">
        <v>199</v>
      </c>
      <c r="B8">
        <f>'Comp''n'!J8</f>
        <v>0.10462523910926683</v>
      </c>
      <c r="C8">
        <v>-0.11</v>
      </c>
      <c r="E8">
        <v>0.115</v>
      </c>
      <c r="F8">
        <f>0.8-1388*B8+6723*(B8)^2</f>
        <v>-70.82691133541549</v>
      </c>
      <c r="G8">
        <f>-412.9*B8-115.9</f>
        <v>-159.09976122821627</v>
      </c>
      <c r="H8">
        <f>IF(B8&lt;0.115,F8,G8)</f>
        <v>-70.82691133541549</v>
      </c>
      <c r="I8">
        <f>IF(B8&lt;E8,F8,G8)</f>
        <v>-70.82691133541549</v>
      </c>
      <c r="J8">
        <f>IF(B8=0,0,I8)</f>
        <v>-70.82691133541549</v>
      </c>
      <c r="K8">
        <f>IF(B8=0,0,H8)</f>
        <v>-70.82691133541549</v>
      </c>
      <c r="L8" s="7">
        <f>'Comp''n'!B51</f>
        <v>1873</v>
      </c>
      <c r="M8" s="4">
        <f t="shared" si="0"/>
        <v>137.59099728977418</v>
      </c>
      <c r="N8" s="4">
        <f t="shared" si="1"/>
        <v>148.1195077585561</v>
      </c>
      <c r="O8">
        <f t="shared" si="2"/>
        <v>-0.01150877630201935</v>
      </c>
      <c r="P8" s="4">
        <f t="shared" si="3"/>
        <v>240.80758644636626</v>
      </c>
      <c r="Q8" s="4">
        <f t="shared" si="4"/>
        <v>251.33609691514818</v>
      </c>
    </row>
    <row r="9" spans="1:17" ht="12.75">
      <c r="A9" t="s">
        <v>200</v>
      </c>
      <c r="B9">
        <f>'Comp''n'!J9</f>
        <v>0.00688616223436788</v>
      </c>
      <c r="C9">
        <v>-0.11</v>
      </c>
      <c r="E9">
        <v>0.115</v>
      </c>
      <c r="F9">
        <f>0.8-1388*B9+6723*(B9)^2</f>
        <v>-8.43919369587447</v>
      </c>
      <c r="G9">
        <f>-94.5+254.5*B9</f>
        <v>-92.74747171135337</v>
      </c>
      <c r="H9">
        <f>IF(B9&lt;0.115,F9,G9)</f>
        <v>-8.43919369587447</v>
      </c>
      <c r="I9">
        <f>IF(B9&lt;E9,F9,G9)</f>
        <v>-8.43919369587447</v>
      </c>
      <c r="J9">
        <f aca="true" t="shared" si="5" ref="J9:J20">IF(B9=0,0,I9)</f>
        <v>-8.43919369587447</v>
      </c>
      <c r="K9">
        <f>IF(B9=0,0,F9)</f>
        <v>-8.43919369587447</v>
      </c>
      <c r="L9" s="7">
        <f>'Comp''n'!B52</f>
        <v>1973</v>
      </c>
      <c r="M9" s="4">
        <f t="shared" si="0"/>
        <v>122.59099728977418</v>
      </c>
      <c r="N9" s="4">
        <f t="shared" si="1"/>
        <v>143.648018227338</v>
      </c>
      <c r="O9">
        <f t="shared" si="2"/>
        <v>-0.0007574778457804667</v>
      </c>
      <c r="P9" s="4">
        <f t="shared" si="3"/>
        <v>225.80758644636626</v>
      </c>
      <c r="Q9" s="4">
        <f t="shared" si="4"/>
        <v>246.8646073839301</v>
      </c>
    </row>
    <row r="10" spans="1:17" ht="12.75">
      <c r="A10" t="s">
        <v>201</v>
      </c>
      <c r="B10">
        <f>'Comp''n'!J10</f>
        <v>0</v>
      </c>
      <c r="C10">
        <v>-0.11</v>
      </c>
      <c r="D10">
        <v>300</v>
      </c>
      <c r="I10">
        <f>IF(B10&gt;E10,F10,G10)</f>
        <v>0</v>
      </c>
      <c r="J10">
        <f t="shared" si="5"/>
        <v>0</v>
      </c>
      <c r="L10" s="7">
        <f>'Comp''n'!B53</f>
        <v>2023</v>
      </c>
      <c r="M10" s="4">
        <f t="shared" si="0"/>
        <v>115.09099728977418</v>
      </c>
      <c r="N10" s="4">
        <f t="shared" si="1"/>
        <v>141.41227346172894</v>
      </c>
      <c r="O10">
        <f t="shared" si="2"/>
        <v>0</v>
      </c>
      <c r="P10" s="4">
        <f t="shared" si="3"/>
        <v>218.30758644636626</v>
      </c>
      <c r="Q10" s="4">
        <f t="shared" si="4"/>
        <v>244.62886261832102</v>
      </c>
    </row>
    <row r="11" spans="1:15" ht="12.75">
      <c r="A11" t="s">
        <v>202</v>
      </c>
      <c r="B11">
        <f>'Comp''n'!J11</f>
        <v>0</v>
      </c>
      <c r="C11" s="1">
        <v>0.1</v>
      </c>
      <c r="D11" s="19">
        <v>645</v>
      </c>
      <c r="E11" s="1"/>
      <c r="F11" s="1"/>
      <c r="G11" s="1"/>
      <c r="I11">
        <f>B11*D11</f>
        <v>0</v>
      </c>
      <c r="J11">
        <f>I11</f>
        <v>0</v>
      </c>
      <c r="O11">
        <f t="shared" si="2"/>
        <v>0</v>
      </c>
    </row>
    <row r="12" spans="1:15" ht="12.75">
      <c r="A12" t="s">
        <v>203</v>
      </c>
      <c r="B12">
        <f>'Comp''n'!J12</f>
        <v>0</v>
      </c>
      <c r="C12">
        <v>-0.1</v>
      </c>
      <c r="D12">
        <v>530</v>
      </c>
      <c r="I12">
        <f>B12*D12</f>
        <v>0</v>
      </c>
      <c r="J12">
        <f>I12</f>
        <v>0</v>
      </c>
      <c r="O12">
        <f t="shared" si="2"/>
        <v>0</v>
      </c>
    </row>
    <row r="13" spans="1:15" ht="12.75">
      <c r="A13" t="s">
        <v>29</v>
      </c>
      <c r="B13">
        <f>'Comp''n'!J13</f>
        <v>0.10242260249644017</v>
      </c>
      <c r="C13">
        <v>-0.07</v>
      </c>
      <c r="E13">
        <v>0.13</v>
      </c>
      <c r="F13">
        <f>-2-934*B13+4769*(B13)^2</f>
        <v>-47.63404319595138</v>
      </c>
      <c r="G13">
        <f>-92.5+382.5*B13</f>
        <v>-53.323354545111634</v>
      </c>
      <c r="H13">
        <f>IF(B13&lt;0.13,F13,G13)</f>
        <v>-47.63404319595138</v>
      </c>
      <c r="I13">
        <f>IF(B13&lt;E13,F13,G13)</f>
        <v>-47.63404319595138</v>
      </c>
      <c r="J13">
        <f t="shared" si="5"/>
        <v>-47.63404319595138</v>
      </c>
      <c r="K13">
        <f>IF(B13=0,0,H13)</f>
        <v>-47.63404319595138</v>
      </c>
      <c r="O13">
        <f t="shared" si="2"/>
        <v>-0.007169582174750813</v>
      </c>
    </row>
    <row r="14" spans="1:15" ht="12.75">
      <c r="A14" t="s">
        <v>204</v>
      </c>
      <c r="B14">
        <f>'Comp''n'!J14</f>
        <v>0</v>
      </c>
      <c r="C14">
        <v>-0.15</v>
      </c>
      <c r="D14">
        <v>400</v>
      </c>
      <c r="I14">
        <f>B14*D14</f>
        <v>0</v>
      </c>
      <c r="J14">
        <f>I14</f>
        <v>0</v>
      </c>
      <c r="O14">
        <f t="shared" si="2"/>
        <v>0</v>
      </c>
    </row>
    <row r="15" spans="1:15" ht="12.75">
      <c r="A15" t="s">
        <v>205</v>
      </c>
      <c r="B15">
        <f>'Comp''n'!J15</f>
        <v>0</v>
      </c>
      <c r="C15">
        <f>-90/600</f>
        <v>-0.15</v>
      </c>
      <c r="D15">
        <v>360</v>
      </c>
      <c r="I15">
        <f>B15*D15</f>
        <v>0</v>
      </c>
      <c r="J15">
        <f>I15</f>
        <v>0</v>
      </c>
      <c r="O15">
        <f t="shared" si="2"/>
        <v>0</v>
      </c>
    </row>
    <row r="16" spans="1:16" ht="12.75">
      <c r="A16" t="s">
        <v>181</v>
      </c>
      <c r="B16">
        <f>'Comp''n'!J16</f>
        <v>0.009293359347814532</v>
      </c>
      <c r="C16">
        <f>40/1000</f>
        <v>0.04</v>
      </c>
      <c r="E16">
        <v>0.1</v>
      </c>
      <c r="F16">
        <f>-5.2-3454*B16+22178*(B16)^2</f>
        <v>-35.3838263300857</v>
      </c>
      <c r="G16">
        <f>-155.3+265.3*B16</f>
        <v>-152.83447176502483</v>
      </c>
      <c r="H16">
        <f>IF(B16&lt;0.1,F16,G16)</f>
        <v>-35.3838263300857</v>
      </c>
      <c r="I16">
        <f>IF(B16&lt;E16,F16,G16)</f>
        <v>-35.3838263300857</v>
      </c>
      <c r="J16">
        <f t="shared" si="5"/>
        <v>-35.3838263300857</v>
      </c>
      <c r="K16">
        <f>IF(B16=0,0,H16)</f>
        <v>-35.3838263300857</v>
      </c>
      <c r="O16">
        <f t="shared" si="2"/>
        <v>0.00037173437391258127</v>
      </c>
      <c r="P16">
        <f>IF(B16&gt;0.12,G16,F16)</f>
        <v>-35.3838263300857</v>
      </c>
    </row>
    <row r="17" spans="1:15" ht="12.75">
      <c r="A17" t="s">
        <v>206</v>
      </c>
      <c r="B17">
        <f>'Comp''n'!J17</f>
        <v>0.004267608437351673</v>
      </c>
      <c r="C17">
        <f>40/320</f>
        <v>0.125</v>
      </c>
      <c r="E17">
        <v>0.05</v>
      </c>
      <c r="F17">
        <f>-1248*B17+8735*(B17)^2</f>
        <v>-5.166889301514148</v>
      </c>
      <c r="G17">
        <f>-84.2+884.2*B17</f>
        <v>-80.42658061969365</v>
      </c>
      <c r="H17">
        <f>IF(B17&lt;0.125,F17,G17)</f>
        <v>-5.166889301514148</v>
      </c>
      <c r="I17">
        <f>IF(B17&lt;E17,F17,G17)</f>
        <v>-5.166889301514148</v>
      </c>
      <c r="J17">
        <f t="shared" si="5"/>
        <v>-5.166889301514148</v>
      </c>
      <c r="K17">
        <f>IF(B17=0,0,H17)</f>
        <v>-5.166889301514148</v>
      </c>
      <c r="O17">
        <f t="shared" si="2"/>
        <v>0.0005334510546689591</v>
      </c>
    </row>
    <row r="18" spans="1:15" ht="12.75">
      <c r="A18" t="s">
        <v>207</v>
      </c>
      <c r="B18">
        <f>'Comp''n'!J18</f>
        <v>0</v>
      </c>
      <c r="D18">
        <v>645</v>
      </c>
      <c r="H18">
        <f>IF(B18&lt;0.115,F18,G18)</f>
        <v>0</v>
      </c>
      <c r="I18">
        <f>B18*D18</f>
        <v>0</v>
      </c>
      <c r="J18">
        <f t="shared" si="5"/>
        <v>0</v>
      </c>
      <c r="O18">
        <f t="shared" si="2"/>
        <v>0</v>
      </c>
    </row>
    <row r="19" spans="1:15" ht="12.75">
      <c r="A19" t="s">
        <v>208</v>
      </c>
      <c r="B19">
        <f>'Comp''n'!J19</f>
        <v>0</v>
      </c>
      <c r="C19" s="1"/>
      <c r="D19" s="1">
        <v>645</v>
      </c>
      <c r="E19" s="1"/>
      <c r="F19" s="1"/>
      <c r="G19" s="1"/>
      <c r="H19">
        <f>IF(B19&lt;0.115,F19,G19)</f>
        <v>0</v>
      </c>
      <c r="I19">
        <f>B19*D19</f>
        <v>0</v>
      </c>
      <c r="J19">
        <f>I19</f>
        <v>0</v>
      </c>
      <c r="O19">
        <f t="shared" si="2"/>
        <v>0</v>
      </c>
    </row>
    <row r="20" spans="1:15" ht="12.75">
      <c r="A20" t="s">
        <v>176</v>
      </c>
      <c r="B20">
        <f>'Comp''n'!J20</f>
        <v>0.00406184397293334</v>
      </c>
      <c r="C20" s="1">
        <v>-0.05</v>
      </c>
      <c r="D20" s="1"/>
      <c r="E20" s="1">
        <v>0.125</v>
      </c>
      <c r="F20" s="1">
        <f>-2972*B20+14312*(B20)^2-3.7</f>
        <v>-15.535672661255855</v>
      </c>
      <c r="G20" s="1">
        <f>-216.2+516.2*B20</f>
        <v>-214.1032761411718</v>
      </c>
      <c r="H20">
        <f>IF(B20&lt;0.125,F20,G20)</f>
        <v>-15.535672661255855</v>
      </c>
      <c r="I20">
        <f>IF(B20&lt;E20,F20,G20)</f>
        <v>-15.535672661255855</v>
      </c>
      <c r="J20">
        <f t="shared" si="5"/>
        <v>-15.535672661255855</v>
      </c>
      <c r="K20">
        <f>IF(B20=0,0,H20)</f>
        <v>-15.535672661255855</v>
      </c>
      <c r="O20">
        <f t="shared" si="2"/>
        <v>-0.000203092198646667</v>
      </c>
    </row>
    <row r="21" spans="1:15" ht="12.75">
      <c r="A21" t="s">
        <v>209</v>
      </c>
      <c r="B21">
        <f>'Comp''n'!J21</f>
        <v>0</v>
      </c>
      <c r="C21">
        <v>-0.1</v>
      </c>
      <c r="D21">
        <v>560</v>
      </c>
      <c r="I21">
        <f>B21*D21</f>
        <v>0</v>
      </c>
      <c r="J21">
        <f>I21</f>
        <v>0</v>
      </c>
      <c r="O21">
        <f t="shared" si="2"/>
        <v>0</v>
      </c>
    </row>
    <row r="22" spans="1:15" ht="12.75">
      <c r="A22" t="s">
        <v>191</v>
      </c>
      <c r="B22">
        <f>'Comp''n'!J22</f>
        <v>0</v>
      </c>
      <c r="C22">
        <v>-0.1</v>
      </c>
      <c r="D22">
        <v>600</v>
      </c>
      <c r="I22">
        <f>B22*D22</f>
        <v>0</v>
      </c>
      <c r="J22">
        <f>I22</f>
        <v>0</v>
      </c>
      <c r="O22">
        <f t="shared" si="2"/>
        <v>0</v>
      </c>
    </row>
    <row r="23" spans="1:15" ht="12.75">
      <c r="A23" t="s">
        <v>210</v>
      </c>
      <c r="B23">
        <f>'Comp''n'!J23</f>
        <v>0</v>
      </c>
      <c r="C23" s="1"/>
      <c r="D23" s="1"/>
      <c r="E23" s="1"/>
      <c r="F23" s="1"/>
      <c r="G23" s="1"/>
      <c r="O23">
        <f t="shared" si="2"/>
        <v>0</v>
      </c>
    </row>
    <row r="24" spans="1:15" ht="12.75">
      <c r="A24" t="s">
        <v>211</v>
      </c>
      <c r="B24">
        <f>'Comp''n'!J24</f>
        <v>0.9999999999999999</v>
      </c>
      <c r="J24">
        <f>SUM(J4:J23)</f>
        <v>152.59099728977418</v>
      </c>
      <c r="O24">
        <f>SUM(O4:O23)</f>
        <v>-0.0447148953121809</v>
      </c>
    </row>
    <row r="25" spans="6:9" ht="12.75">
      <c r="F25" s="1"/>
      <c r="G25" s="1"/>
      <c r="H25" s="1"/>
      <c r="I25" s="1"/>
    </row>
    <row r="28" ht="12.75">
      <c r="D28" t="s">
        <v>300</v>
      </c>
    </row>
    <row r="29" spans="1:5" ht="12.75">
      <c r="A29" t="s">
        <v>181</v>
      </c>
      <c r="B29">
        <v>110</v>
      </c>
      <c r="C29">
        <f>B16</f>
        <v>0.009293359347814532</v>
      </c>
      <c r="D29">
        <f>0.12-B16</f>
        <v>0.11070664065218547</v>
      </c>
      <c r="E29">
        <f>IF(D29&gt;0,I16,E30)</f>
        <v>-35.3838263300857</v>
      </c>
    </row>
    <row r="30" spans="1:6" ht="12.75">
      <c r="A30" s="1" t="s">
        <v>200</v>
      </c>
      <c r="B30">
        <v>160</v>
      </c>
      <c r="C30">
        <f>B9</f>
        <v>0.00688616223436788</v>
      </c>
      <c r="D30">
        <f>0.12-(C29+C30)</f>
        <v>0.10382047841781758</v>
      </c>
      <c r="E30">
        <f>IF(D30&gt;0,I9,0)</f>
        <v>-8.43919369587447</v>
      </c>
      <c r="F30">
        <f>IF(E30=0,0,E30)</f>
        <v>-8.43919369587447</v>
      </c>
    </row>
    <row r="31" spans="1:7" ht="12.75">
      <c r="A31" t="s">
        <v>199</v>
      </c>
      <c r="B31">
        <v>297</v>
      </c>
      <c r="C31">
        <f>B8</f>
        <v>0.10462523910926683</v>
      </c>
      <c r="D31">
        <f>0.12-(C29+C30+C31)</f>
        <v>-0.0008047606914492467</v>
      </c>
      <c r="E31">
        <f>IF(D31&gt;0,I10,0)</f>
        <v>0</v>
      </c>
      <c r="F31">
        <f>IF(E31=0,0,E31)</f>
        <v>0</v>
      </c>
      <c r="G31">
        <f>IF(F30&lt;0,((C31+D31)*J8)/C31,C31*B31)</f>
        <v>-70.28212200327378</v>
      </c>
    </row>
    <row r="32" spans="1:7" ht="12.75">
      <c r="A32" t="s">
        <v>29</v>
      </c>
      <c r="B32">
        <v>290</v>
      </c>
      <c r="C32">
        <f>B13</f>
        <v>0.10242260249644017</v>
      </c>
      <c r="D32">
        <f>0.12-(C29+C30+C31+C32)</f>
        <v>-0.10322736318788941</v>
      </c>
      <c r="E32">
        <f>IF(D32&gt;0,I11,0)</f>
        <v>0</v>
      </c>
      <c r="F32">
        <f>IF(E32=0,0,E32)</f>
        <v>0</v>
      </c>
      <c r="G32">
        <f>IF(F31&lt;0,((C32+D32)*J9)/C32,C32*B32)</f>
        <v>29.702554723967648</v>
      </c>
    </row>
    <row r="33" spans="1:19" ht="15.75">
      <c r="A33" t="s">
        <v>299</v>
      </c>
      <c r="B33">
        <v>300</v>
      </c>
      <c r="C33">
        <f>B20</f>
        <v>0.00406184397293334</v>
      </c>
      <c r="D33">
        <f>0.12-(C29+C30+C31+C32+C33)</f>
        <v>-0.10728920716082274</v>
      </c>
      <c r="E33">
        <f>IF(D33&gt;0,I12,0)</f>
        <v>0</v>
      </c>
      <c r="F33">
        <f>IF(E33=0,0,E33)</f>
        <v>0</v>
      </c>
      <c r="G33">
        <f>IF(F32&lt;0,((C33+D33)*J10)/C33,C33*B33)</f>
        <v>1.2185531918800019</v>
      </c>
      <c r="S33" s="2"/>
    </row>
    <row r="34" spans="1:26" ht="15.75">
      <c r="A34" t="s">
        <v>206</v>
      </c>
      <c r="B34">
        <v>800</v>
      </c>
      <c r="C34">
        <f>B17</f>
        <v>0.004267608437351673</v>
      </c>
      <c r="D34">
        <f>0.12-(C29+C30+C31+C32+C33+C34)</f>
        <v>-0.1115568155981744</v>
      </c>
      <c r="E34">
        <f>IF(D34&gt;0,I13,0)</f>
        <v>0</v>
      </c>
      <c r="F34">
        <f>IF(E34=0,0,E34)</f>
        <v>0</v>
      </c>
      <c r="G34">
        <f>IF(F33&lt;0,((C34+D34)*J11)/C34,C34*B34)</f>
        <v>3.4140867498813385</v>
      </c>
      <c r="H34">
        <f>E29+F30+G31+G32+G33+G34</f>
        <v>-79.76994736350495</v>
      </c>
      <c r="I34">
        <f>J4+J5+J6+J7+J10+J11+J12+J14+J15+J18+J21+J22</f>
        <v>335.5775338098712</v>
      </c>
      <c r="J34">
        <f>I34+H34</f>
        <v>255.80758644636626</v>
      </c>
      <c r="Z34" s="2"/>
    </row>
    <row r="35" ht="15.75">
      <c r="A35" s="2"/>
    </row>
    <row r="39" spans="2:30" ht="12.75">
      <c r="B39" s="1"/>
      <c r="C39" s="1"/>
      <c r="D39" s="1"/>
      <c r="E39" s="1"/>
      <c r="F39" s="1"/>
      <c r="G39" s="1"/>
      <c r="H39" s="1"/>
      <c r="U39" t="s">
        <v>24</v>
      </c>
      <c r="V39" t="s">
        <v>19</v>
      </c>
      <c r="W39" t="s">
        <v>23</v>
      </c>
      <c r="Y39" t="s">
        <v>25</v>
      </c>
      <c r="AD39" s="4"/>
    </row>
    <row r="41" spans="14:25" ht="12.75">
      <c r="N41" s="3"/>
      <c r="U41">
        <f>D41+(2*D43)+(2*D53)</f>
        <v>0</v>
      </c>
      <c r="V41">
        <f>2*(D42+D44+D45+D46+D47+D48+D49)-2*(D43+D53)</f>
        <v>0</v>
      </c>
      <c r="W41" t="e">
        <f>V41/U41</f>
        <v>#DIV/0!</v>
      </c>
      <c r="Y41" t="e">
        <f>V41+2*D50/U41</f>
        <v>#DIV/0!</v>
      </c>
    </row>
    <row r="42" ht="12.75">
      <c r="N42" s="3"/>
    </row>
    <row r="43" ht="12.75">
      <c r="N43" s="3"/>
    </row>
    <row r="44" ht="12.75">
      <c r="N44" s="3"/>
    </row>
    <row r="45" ht="12.75">
      <c r="N45" s="3"/>
    </row>
    <row r="58" ht="15.75">
      <c r="B58" s="2"/>
    </row>
    <row r="59" ht="15.75">
      <c r="B59" s="2"/>
    </row>
    <row r="60" ht="15.75">
      <c r="B60" s="2"/>
    </row>
    <row r="61" ht="15.75">
      <c r="B61" s="2"/>
    </row>
    <row r="62" ht="15.75">
      <c r="B62" s="2"/>
    </row>
    <row r="63" ht="15.75">
      <c r="B63" s="2"/>
    </row>
    <row r="64" ht="15.75">
      <c r="B64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72"/>
  <sheetViews>
    <sheetView workbookViewId="0" topLeftCell="A11">
      <selection activeCell="H41" sqref="H41"/>
    </sheetView>
  </sheetViews>
  <sheetFormatPr defaultColWidth="9.140625" defaultRowHeight="12.75"/>
  <sheetData>
    <row r="2" spans="4:7" ht="12.75">
      <c r="D2" s="7" t="s">
        <v>43</v>
      </c>
      <c r="E2" s="7"/>
      <c r="F2" s="7"/>
      <c r="G2" s="7" t="s">
        <v>126</v>
      </c>
    </row>
    <row r="4" spans="1:16" ht="18.75">
      <c r="A4" s="2" t="s">
        <v>127</v>
      </c>
      <c r="K4" s="2"/>
      <c r="P4" s="2" t="s">
        <v>46</v>
      </c>
    </row>
    <row r="5" ht="15.75">
      <c r="A5" s="2" t="s">
        <v>44</v>
      </c>
    </row>
    <row r="6" spans="1:10" ht="20.25">
      <c r="A6" s="2" t="s">
        <v>45</v>
      </c>
      <c r="H6" s="4" t="s">
        <v>223</v>
      </c>
      <c r="J6" t="s">
        <v>225</v>
      </c>
    </row>
    <row r="7" spans="1:10" ht="15.75">
      <c r="A7" s="2"/>
      <c r="D7" s="6" t="s">
        <v>55</v>
      </c>
      <c r="E7" t="s">
        <v>52</v>
      </c>
      <c r="F7" t="s">
        <v>53</v>
      </c>
      <c r="G7" s="4" t="s">
        <v>54</v>
      </c>
      <c r="H7" s="4" t="s">
        <v>71</v>
      </c>
      <c r="J7" s="5" t="s">
        <v>224</v>
      </c>
    </row>
    <row r="8" spans="1:10" ht="15.75">
      <c r="A8" s="2" t="s">
        <v>47</v>
      </c>
      <c r="B8">
        <f>20.7*'Comp''n'!J5+16.1*'Comp''n'!J7+33*'Comp''n'!J8+51.8*'Comp''n'!J9+13.3*'Comp''n'!J10+15.8*'Comp''n'!J11+15.6*'Comp''n'!J12+31.3*'Comp''n'!J13+36*'Comp''n'!J14+24*'Comp''n'!J15+38.4*'Comp''n'!J16+29.2*'Comp''n'!J17+10.5*'Comp''n'!J18+14.5*'Comp''n'!J19+38.4*'Comp''n'!J20+31.8*'Comp''n'!J21+28*'Comp''n'!J22</f>
        <v>14.414359525228067</v>
      </c>
      <c r="D8" s="7">
        <f>'Comp''n'!B47</f>
        <v>1473</v>
      </c>
      <c r="E8">
        <f>B11*(1+10^-4*(D8-1773))</f>
        <v>23.899916262175683</v>
      </c>
      <c r="F8">
        <f>B12/E8</f>
        <v>2.5912866373034595</v>
      </c>
      <c r="G8">
        <f aca="true" t="shared" si="0" ref="G8:G14">F8*10^3</f>
        <v>2591.2866373034594</v>
      </c>
      <c r="H8">
        <f>J8*(1-((D8-1673)*10^-4))</f>
        <v>2564.28</v>
      </c>
      <c r="J8">
        <f>2490+12*('Comp''n'!F11+'Comp''n'!F12+'Comp''n'!F17+'Comp''n'!F18+'Comp''n'!F19+'Comp''n'!F20)</f>
        <v>2514</v>
      </c>
    </row>
    <row r="9" spans="1:13" ht="15.75">
      <c r="A9" s="2" t="s">
        <v>48</v>
      </c>
      <c r="B9">
        <f>19.55+7.966*'Comp''n'!J4</f>
        <v>22.736536729972833</v>
      </c>
      <c r="D9" s="7">
        <f>'Comp''n'!B48</f>
        <v>1573</v>
      </c>
      <c r="E9">
        <f>B11*(1+10^-4*(D9-1773))</f>
        <v>24.146307151476464</v>
      </c>
      <c r="F9">
        <f>B12/E9</f>
        <v>2.5648449369228117</v>
      </c>
      <c r="G9">
        <f t="shared" si="0"/>
        <v>2564.8449369228115</v>
      </c>
      <c r="H9">
        <f>J8*(1-((D9-1673)*10^-4))</f>
        <v>2539.14</v>
      </c>
      <c r="L9">
        <v>28</v>
      </c>
      <c r="M9">
        <f>0.7*L9</f>
        <v>19.599999999999998</v>
      </c>
    </row>
    <row r="10" spans="1:8" ht="15.75">
      <c r="A10" s="2" t="s">
        <v>49</v>
      </c>
      <c r="B10">
        <f>28.31+32*'Comp''n'!J6+31.3*('Comp''n'!J6)^2</f>
        <v>29.57789833947742</v>
      </c>
      <c r="D10" s="7">
        <f>'Comp''n'!B49</f>
        <v>1673</v>
      </c>
      <c r="E10">
        <f>B11*(1+10^-4*(D10-1773))</f>
        <v>24.392698040777244</v>
      </c>
      <c r="F10">
        <f>B12/E10</f>
        <v>2.5389374123074298</v>
      </c>
      <c r="G10">
        <f t="shared" si="0"/>
        <v>2538.93741230743</v>
      </c>
      <c r="H10">
        <f>J8*(1-((D10-1673)*10^-4))</f>
        <v>2514</v>
      </c>
    </row>
    <row r="11" spans="1:8" ht="15.75">
      <c r="A11" s="2" t="s">
        <v>50</v>
      </c>
      <c r="B11">
        <f>B8+'Comp''n'!J4*B9+B10*'Comp''n'!J6</f>
        <v>24.639088930078024</v>
      </c>
      <c r="D11" s="7">
        <f>'Comp''n'!B50</f>
        <v>1773</v>
      </c>
      <c r="E11">
        <f>B11*(1+10^-4*(D11-1773))</f>
        <v>24.639088930078024</v>
      </c>
      <c r="F11">
        <f>B12/E11</f>
        <v>2.5135480381843553</v>
      </c>
      <c r="G11">
        <f t="shared" si="0"/>
        <v>2513.5480381843554</v>
      </c>
      <c r="H11">
        <f>J8*(1-((D11-1673)*10^-4))</f>
        <v>2488.86</v>
      </c>
    </row>
    <row r="12" spans="1:7" ht="15.75">
      <c r="A12" s="2" t="s">
        <v>51</v>
      </c>
      <c r="B12">
        <f>'Comp''n'!J4*60+'Comp''n'!J5*56.08+'Comp''n'!J6*101.9+'Comp''n'!J7*40.3+'Comp''n'!J8*62+94.2*'Comp''n'!J9+'Comp''n'!J10*29.8+'Comp''n'!J11*71.85+'Comp''n'!J12*71+'Comp''n'!J13*78+'Comp''n'!J14*123.2+'Comp''n'!J15*79.9+69.8*'Comp''n'!J16</f>
        <v>61.93153364284749</v>
      </c>
      <c r="D12" s="7">
        <f>'Comp''n'!B51</f>
        <v>1873</v>
      </c>
      <c r="E12">
        <f>B11*(1+10^-4*(D12-1773))</f>
        <v>24.885479819378805</v>
      </c>
      <c r="F12">
        <f>B12/E12</f>
        <v>2.4886614239449063</v>
      </c>
      <c r="G12">
        <f t="shared" si="0"/>
        <v>2488.6614239449063</v>
      </c>
    </row>
    <row r="13" spans="1:7" ht="15.75">
      <c r="A13" s="2" t="s">
        <v>51</v>
      </c>
      <c r="B13">
        <f>'Comp''n'!V21</f>
        <v>0</v>
      </c>
      <c r="D13" s="7">
        <f>'Comp''n'!B52</f>
        <v>1973</v>
      </c>
      <c r="E13">
        <f>B11*(1+10^-4*(D13-1773))</f>
        <v>25.131870708679585</v>
      </c>
      <c r="F13">
        <f>B12/E13</f>
        <v>2.464262782533682</v>
      </c>
      <c r="G13">
        <f t="shared" si="0"/>
        <v>2464.262782533682</v>
      </c>
    </row>
    <row r="14" spans="4:7" ht="12.75">
      <c r="D14" s="7">
        <f>'Comp''n'!B53</f>
        <v>2023</v>
      </c>
      <c r="E14">
        <f>B11*(1+10^-4*(D14-1773))</f>
        <v>25.255066153329974</v>
      </c>
      <c r="F14">
        <f>B12/E14</f>
        <v>2.452241988472542</v>
      </c>
      <c r="G14">
        <f t="shared" si="0"/>
        <v>2452.241988472542</v>
      </c>
    </row>
    <row r="18" spans="4:14" ht="12.75">
      <c r="D18" s="7" t="s">
        <v>66</v>
      </c>
      <c r="E18" s="7"/>
      <c r="F18" s="15"/>
      <c r="M18" s="4" t="s">
        <v>43</v>
      </c>
      <c r="N18" s="9"/>
    </row>
    <row r="20" ht="12.75">
      <c r="L20" t="s">
        <v>93</v>
      </c>
    </row>
    <row r="21" spans="1:12" ht="18.75">
      <c r="A21" s="2" t="s">
        <v>67</v>
      </c>
      <c r="L21" t="s">
        <v>94</v>
      </c>
    </row>
    <row r="22" spans="1:12" ht="15.75">
      <c r="A22" s="2" t="s">
        <v>68</v>
      </c>
      <c r="L22" t="s">
        <v>95</v>
      </c>
    </row>
    <row r="23" spans="1:9" ht="18.75">
      <c r="A23" s="2" t="s">
        <v>69</v>
      </c>
      <c r="F23" s="4" t="s">
        <v>128</v>
      </c>
      <c r="I23" s="4" t="s">
        <v>106</v>
      </c>
    </row>
    <row r="24" spans="4:17" ht="12.75">
      <c r="D24" t="s">
        <v>55</v>
      </c>
      <c r="E24" t="s">
        <v>52</v>
      </c>
      <c r="F24" t="s">
        <v>53</v>
      </c>
      <c r="G24" t="s">
        <v>71</v>
      </c>
      <c r="H24" t="s">
        <v>55</v>
      </c>
      <c r="I24" t="s">
        <v>52</v>
      </c>
      <c r="J24" s="4" t="s">
        <v>71</v>
      </c>
      <c r="L24" t="s">
        <v>96</v>
      </c>
      <c r="M24" t="s">
        <v>47</v>
      </c>
      <c r="N24" t="s">
        <v>48</v>
      </c>
      <c r="O24" t="s">
        <v>49</v>
      </c>
      <c r="P24" t="s">
        <v>52</v>
      </c>
      <c r="Q24" t="s">
        <v>97</v>
      </c>
    </row>
    <row r="25" spans="1:16" ht="15.75">
      <c r="A25" s="2" t="s">
        <v>47</v>
      </c>
      <c r="B25">
        <f>14.4*'Comp''n'!J5+12.5*'Comp''n'!J7+20.2*'Comp''n'!J8+33.5*'Comp''n'!J9+11*'Comp''n'!J10+16.5*'Comp''n'!J11+17*'Comp''n'!J12+28.5*'Comp''n'!J13+++'Comp''n'!J16+20.5*'Comp''n'!J17++26.9*'Comp''n'!J20+19.6*'Comp''n'!J22</f>
        <v>10.193948939957675</v>
      </c>
      <c r="D25" s="7">
        <f>'Comp''n'!E32</f>
        <v>298</v>
      </c>
      <c r="E25">
        <f>B28*(1+(9*10^-6*(D25-298))^3)</f>
        <v>21.801478220938264</v>
      </c>
      <c r="F25">
        <f>B12/E25</f>
        <v>2.840703415393553</v>
      </c>
      <c r="G25">
        <f>F25*1000</f>
        <v>2840.703415393553</v>
      </c>
      <c r="H25">
        <f>'Comp''n'!B32</f>
        <v>298</v>
      </c>
      <c r="I25">
        <f>E25+((D25-298)*(E41-E25))/(D41-298)</f>
        <v>21.801478220938264</v>
      </c>
      <c r="J25" s="4">
        <f>1000*(B12/I25)</f>
        <v>2840.703415393553</v>
      </c>
      <c r="L25">
        <v>1773</v>
      </c>
      <c r="M25">
        <f>20.7*'Comp''n'!J5+16.1*'Comp''n'!J7+33*'Comp''n'!J8+16*'Comp''n'!J10+51.8*'Comp''n'!J9+31.3*'Comp''n'!J13+15.8*'Comp''n'!J11+15.6*'Comp''n'!J12+24*'Comp''n'!J15+10*'Comp''n'!J16</f>
        <v>13.869839144818824</v>
      </c>
      <c r="N25">
        <f>19.55+7.988*'Comp''n'!J4</f>
        <v>22.745337107585108</v>
      </c>
      <c r="O25">
        <f>28.31+32*'Comp''n'!J6-('Comp''n'!J6)^2*31.45</f>
        <v>29.48635554432441</v>
      </c>
      <c r="P25">
        <f>M25+N25*'Comp''n'!J4+Density!O25*'Comp''n'!J6</f>
        <v>24.094592385129797</v>
      </c>
    </row>
    <row r="26" spans="1:12" ht="15.75">
      <c r="A26" s="2" t="s">
        <v>48</v>
      </c>
      <c r="B26">
        <f>23.76+3.5*'Comp''n'!J4</f>
        <v>25.16006007468051</v>
      </c>
      <c r="D26" s="7">
        <f>'Comp''n'!E33</f>
        <v>400</v>
      </c>
      <c r="E26">
        <f>B28*(1+0.000009*(D26-298))^3</f>
        <v>21.861574626711594</v>
      </c>
      <c r="F26">
        <f>B12/E26</f>
        <v>2.8328944598151846</v>
      </c>
      <c r="G26">
        <f aca="true" t="shared" si="1" ref="G26:G36">F26*1000</f>
        <v>2832.8944598151847</v>
      </c>
      <c r="H26">
        <f>'Comp''n'!B33</f>
        <v>400</v>
      </c>
      <c r="I26">
        <f>E25+((D26-298)*(E41-E25))/(D41-298)</f>
        <v>21.98225977470842</v>
      </c>
      <c r="J26" s="4">
        <f>1000*(B12/I26)</f>
        <v>2817.3415416599937</v>
      </c>
      <c r="L26">
        <v>1</v>
      </c>
    </row>
    <row r="27" spans="1:10" ht="15.75">
      <c r="A27" s="2" t="s">
        <v>49</v>
      </c>
      <c r="B27">
        <v>40.4</v>
      </c>
      <c r="D27" s="7">
        <f>'Comp''n'!E34</f>
        <v>500</v>
      </c>
      <c r="E27">
        <f>B28*(1+0.000009*(D27-298))^3</f>
        <v>21.920599783920856</v>
      </c>
      <c r="F27">
        <f>B12/E27</f>
        <v>2.8252663820027113</v>
      </c>
      <c r="G27">
        <f t="shared" si="1"/>
        <v>2825.2663820027115</v>
      </c>
      <c r="H27">
        <f>'Comp''n'!B34</f>
        <v>500</v>
      </c>
      <c r="I27">
        <f>E25+((D27-298)*(E41-E25))/(D41-298)</f>
        <v>22.159496592130143</v>
      </c>
      <c r="J27" s="4">
        <f>1000*(B12/I27)</f>
        <v>2794.807787503721</v>
      </c>
    </row>
    <row r="28" spans="1:10" ht="15.75">
      <c r="A28" s="2" t="s">
        <v>70</v>
      </c>
      <c r="B28">
        <f>B25+B26*'Comp''n'!J4+'Comp''n'!J6*Density!B27</f>
        <v>21.801478220938264</v>
      </c>
      <c r="D28" s="7">
        <f>'Comp''n'!E35</f>
        <v>600</v>
      </c>
      <c r="E28">
        <f>B28*(1+0.000009*(D28-298))^3</f>
        <v>21.97973108894078</v>
      </c>
      <c r="F28">
        <f>B12/E28</f>
        <v>2.8176656662559747</v>
      </c>
      <c r="G28">
        <f t="shared" si="1"/>
        <v>2817.665666255975</v>
      </c>
      <c r="H28">
        <f>'Comp''n'!B35</f>
        <v>600</v>
      </c>
      <c r="I28">
        <f>E25+((D28-298)*(E41-E25))/(D41-298)</f>
        <v>22.336733409551865</v>
      </c>
      <c r="J28" s="4">
        <f>1000*(B12/I28)</f>
        <v>2772.631633610476</v>
      </c>
    </row>
    <row r="29" spans="1:10" ht="15.75">
      <c r="A29" s="2" t="s">
        <v>41</v>
      </c>
      <c r="B29">
        <f>D37</f>
        <v>1450</v>
      </c>
      <c r="D29" s="7">
        <f>'Comp''n'!E36</f>
        <v>700</v>
      </c>
      <c r="E29">
        <f>B28*(1+0.000009*(D29-298))^3</f>
        <v>22.038968637131052</v>
      </c>
      <c r="F29">
        <f>B12/E29</f>
        <v>2.8100921899995726</v>
      </c>
      <c r="G29">
        <f t="shared" si="1"/>
        <v>2810.0921899995724</v>
      </c>
      <c r="H29">
        <f>'Comp''n'!B36</f>
        <v>700</v>
      </c>
      <c r="I29">
        <f>E25+((D29-298)*(E41-E25))/(D41-298)</f>
        <v>22.513970226973587</v>
      </c>
      <c r="J29" s="4">
        <f>1000*(B12/I29)</f>
        <v>2750.804634566338</v>
      </c>
    </row>
    <row r="30" spans="4:10" ht="12.75">
      <c r="D30" s="7">
        <f>'Comp''n'!E37</f>
        <v>800</v>
      </c>
      <c r="E30">
        <f>B28*(1+0.000009*(D30-298))^3</f>
        <v>22.098312523851344</v>
      </c>
      <c r="F30">
        <f>B12/E30</f>
        <v>2.8025458313164413</v>
      </c>
      <c r="G30">
        <f t="shared" si="1"/>
        <v>2802.5458313164413</v>
      </c>
      <c r="H30">
        <f>'Comp''n'!B37</f>
        <v>900</v>
      </c>
      <c r="I30">
        <f>E25+((D30-298)*(E41-E25))/(D41-298)</f>
        <v>22.69120704439531</v>
      </c>
      <c r="J30" s="4">
        <f>1000*(B12/I30)</f>
        <v>2729.3186088196435</v>
      </c>
    </row>
    <row r="31" spans="4:10" ht="12.75">
      <c r="D31" s="7">
        <f>'Comp''n'!E38</f>
        <v>900</v>
      </c>
      <c r="E31">
        <f>B28*(1+0.000009*(D31-298))^3</f>
        <v>22.1577628444613</v>
      </c>
      <c r="F31">
        <f>B12/E31</f>
        <v>2.795026468943741</v>
      </c>
      <c r="G31">
        <f t="shared" si="1"/>
        <v>2795.0264689437413</v>
      </c>
      <c r="H31">
        <f>'Comp''n'!B38</f>
        <v>753.7369293120884</v>
      </c>
      <c r="I31">
        <f>E25+((D31-298)*(E41-E25))/(D41-298)</f>
        <v>22.868443861817035</v>
      </c>
      <c r="J31" s="4">
        <f>1000*(B12/I31)</f>
        <v>2708.1656284559563</v>
      </c>
    </row>
    <row r="32" spans="4:10" ht="12.75">
      <c r="D32" s="7">
        <f>'Comp''n'!E39</f>
        <v>1000</v>
      </c>
      <c r="E32">
        <f>B28*(1+0.000009*(D32-298))^3</f>
        <v>22.217319694320608</v>
      </c>
      <c r="F32">
        <f>B12/E32</f>
        <v>2.787533982268752</v>
      </c>
      <c r="G32">
        <f t="shared" si="1"/>
        <v>2787.533982268752</v>
      </c>
      <c r="H32">
        <f>'Comp''n'!B39</f>
        <v>753.7369293120884</v>
      </c>
      <c r="I32">
        <f>E25+((D32-298)*(E41-E25))/(D41-298)</f>
        <v>23.045680679238757</v>
      </c>
      <c r="J32" s="4">
        <f>1000*(B12/I32)</f>
        <v>2687.338009444866</v>
      </c>
    </row>
    <row r="33" spans="4:10" ht="12.75">
      <c r="D33" s="7">
        <f>'Comp''n'!E40</f>
        <v>1100</v>
      </c>
      <c r="E33">
        <f>B28*(1+0.000009*(D33-298))^3</f>
        <v>22.276983168788913</v>
      </c>
      <c r="F33">
        <f>B12/E33</f>
        <v>2.7800682513248223</v>
      </c>
      <c r="G33">
        <f t="shared" si="1"/>
        <v>2780.068251324822</v>
      </c>
      <c r="H33">
        <f>'Comp''n'!B40</f>
        <v>1200</v>
      </c>
      <c r="I33">
        <f>E25+((D33-298)*(E41-E25))/(D41-298)</f>
        <v>23.22291749666048</v>
      </c>
      <c r="J33" s="4">
        <f>1000*(B12/I33)</f>
        <v>2666.828302333392</v>
      </c>
    </row>
    <row r="34" spans="4:10" ht="12.75">
      <c r="D34" s="7">
        <f>'Comp''n'!E41</f>
        <v>1200</v>
      </c>
      <c r="E34">
        <f>B28*(1+0.000009*(D34-298))^3</f>
        <v>22.336753363225903</v>
      </c>
      <c r="F34">
        <f>B12/E34</f>
        <v>2.7726291567873256</v>
      </c>
      <c r="G34">
        <f t="shared" si="1"/>
        <v>2772.6291567873254</v>
      </c>
      <c r="H34">
        <f>'Comp''n'!B41</f>
        <v>1300</v>
      </c>
      <c r="I34">
        <f>E25+((D34-298)*(E41-E25))/(D41-298)</f>
        <v>23.4001543140822</v>
      </c>
      <c r="J34" s="4">
        <f>1000*(B12/I34)</f>
        <v>2646.629283362338</v>
      </c>
    </row>
    <row r="35" spans="4:10" ht="12.75">
      <c r="D35" s="7">
        <f>'Comp''n'!E42</f>
        <v>1300</v>
      </c>
      <c r="E35">
        <f>B28*(1+0.000009*(D35-298))^3</f>
        <v>22.39663037299122</v>
      </c>
      <c r="F35">
        <f>B12/E35</f>
        <v>2.7652165799696644</v>
      </c>
      <c r="G35">
        <f t="shared" si="1"/>
        <v>2765.2165799696645</v>
      </c>
      <c r="H35">
        <f>'Comp''n'!B42</f>
        <v>1400</v>
      </c>
      <c r="I35">
        <f>E25+((D35-298)*(E41-E25))/(D41-298)</f>
        <v>23.577391131503923</v>
      </c>
      <c r="J35" s="4">
        <f>1000*(B12/I35)</f>
        <v>2626.7339459833224</v>
      </c>
    </row>
    <row r="36" spans="3:10" ht="12.75">
      <c r="C36" s="1"/>
      <c r="D36" s="7">
        <f>'Comp''n'!E43</f>
        <v>1400</v>
      </c>
      <c r="E36">
        <f>B28*(1+0.000009*(D36-298))^3</f>
        <v>22.456614293444552</v>
      </c>
      <c r="F36">
        <f>B12/E36</f>
        <v>2.7578304028192844</v>
      </c>
      <c r="G36">
        <f t="shared" si="1"/>
        <v>2757.8304028192842</v>
      </c>
      <c r="H36">
        <f>'Comp''n'!B43</f>
        <v>1600</v>
      </c>
      <c r="I36">
        <f>E25+((D36-298)*(E41-E25))/(D41-298)</f>
        <v>23.754627948925645</v>
      </c>
      <c r="J36" s="4">
        <f>1000*(B12/I36)</f>
        <v>2607.13549275557</v>
      </c>
    </row>
    <row r="37" spans="3:10" ht="12.75">
      <c r="C37" t="s">
        <v>41</v>
      </c>
      <c r="D37" s="7">
        <f>'Comp''n'!E44</f>
        <v>1450</v>
      </c>
      <c r="E37">
        <f>B28*(1+0.000009*(D37-298))^3</f>
        <v>22.4866463749791</v>
      </c>
      <c r="F37">
        <f>B12/E37</f>
        <v>2.7541471774003052</v>
      </c>
      <c r="G37">
        <f>F37*1000</f>
        <v>2754.1471774003053</v>
      </c>
      <c r="H37">
        <f>'Comp''n'!B44</f>
        <v>1700</v>
      </c>
      <c r="I37">
        <f>E25+((D37-298)*(E41-E25))/(D41-298)</f>
        <v>23.843246357636506</v>
      </c>
      <c r="J37" s="4">
        <f>1000*(B12/I37)</f>
        <v>2597.4455287634137</v>
      </c>
    </row>
    <row r="38" spans="4:10" ht="12.75">
      <c r="D38" s="7">
        <f>'Comp''n'!E45</f>
        <v>1473</v>
      </c>
      <c r="E38">
        <f>B28*(1+0.000009*(D38-298))^3</f>
        <v>22.50047011892494</v>
      </c>
      <c r="F38">
        <f>B12/E38</f>
        <v>2.7524550960718566</v>
      </c>
      <c r="G38">
        <f>F38*1000</f>
        <v>2752.4550960718566</v>
      </c>
      <c r="H38">
        <f>'Comp''n'!B45</f>
        <v>1473</v>
      </c>
      <c r="I38">
        <f>E25+((D38-298)*(E41-E25))/(D41-298)</f>
        <v>23.8840108256435</v>
      </c>
      <c r="J38" s="4">
        <f>1000*(B12/I38)</f>
        <v>2593.0122915684487</v>
      </c>
    </row>
    <row r="41" spans="3:7" ht="12.75">
      <c r="C41" t="s">
        <v>41</v>
      </c>
      <c r="D41" s="4">
        <f>D37</f>
        <v>1450</v>
      </c>
      <c r="E41">
        <f>B11*(1+10^-4*(D41-1773))</f>
        <v>23.843246357636506</v>
      </c>
      <c r="F41">
        <f>B13/E41</f>
        <v>0</v>
      </c>
      <c r="G41">
        <f>1000*F41</f>
        <v>0</v>
      </c>
    </row>
    <row r="42" spans="4:7" ht="12.75">
      <c r="D42" s="7">
        <v>1773</v>
      </c>
      <c r="E42">
        <f aca="true" t="shared" si="2" ref="E42:G43">E8</f>
        <v>23.899916262175683</v>
      </c>
      <c r="F42">
        <f t="shared" si="2"/>
        <v>2.5912866373034595</v>
      </c>
      <c r="G42">
        <f t="shared" si="2"/>
        <v>2591.2866373034594</v>
      </c>
    </row>
    <row r="43" spans="4:7" ht="12.75">
      <c r="D43" s="7">
        <v>1873</v>
      </c>
      <c r="E43">
        <f t="shared" si="2"/>
        <v>24.146307151476464</v>
      </c>
      <c r="F43">
        <f t="shared" si="2"/>
        <v>2.5648449369228117</v>
      </c>
      <c r="G43">
        <f t="shared" si="2"/>
        <v>2564.8449369228115</v>
      </c>
    </row>
    <row r="44" spans="4:7" ht="12.75">
      <c r="D44" s="7">
        <v>1973</v>
      </c>
      <c r="E44">
        <f aca="true" t="shared" si="3" ref="E44:G45">E10</f>
        <v>24.392698040777244</v>
      </c>
      <c r="F44">
        <f t="shared" si="3"/>
        <v>2.5389374123074298</v>
      </c>
      <c r="G44">
        <f t="shared" si="3"/>
        <v>2538.93741230743</v>
      </c>
    </row>
    <row r="45" spans="4:7" ht="12.75">
      <c r="D45" s="7">
        <v>2073</v>
      </c>
      <c r="E45">
        <f t="shared" si="3"/>
        <v>24.639088930078024</v>
      </c>
      <c r="F45">
        <f t="shared" si="3"/>
        <v>2.5135480381843553</v>
      </c>
      <c r="G45">
        <f t="shared" si="3"/>
        <v>2513.5480381843554</v>
      </c>
    </row>
    <row r="48" spans="4:6" ht="12.75">
      <c r="D48" t="s">
        <v>98</v>
      </c>
      <c r="E48">
        <f>D37</f>
        <v>1450</v>
      </c>
      <c r="F48">
        <v>4000</v>
      </c>
    </row>
    <row r="49" spans="4:6" ht="12.75">
      <c r="D49" t="s">
        <v>98</v>
      </c>
      <c r="E49">
        <f>D37</f>
        <v>1450</v>
      </c>
      <c r="F49">
        <v>2000</v>
      </c>
    </row>
    <row r="51" spans="13:17" ht="12.75">
      <c r="M51" s="4" t="s">
        <v>129</v>
      </c>
      <c r="N51" s="4"/>
      <c r="O51" s="4" t="s">
        <v>130</v>
      </c>
      <c r="P51" s="4" t="s">
        <v>131</v>
      </c>
      <c r="Q51" s="4"/>
    </row>
    <row r="52" spans="3:6" ht="12.75">
      <c r="C52" t="s">
        <v>105</v>
      </c>
      <c r="E52">
        <f>(G45-G42)/(D45-D42)</f>
        <v>-0.25912866373034676</v>
      </c>
      <c r="F52">
        <f>G42-(E52*D42)</f>
        <v>3050.7217580973643</v>
      </c>
    </row>
    <row r="53" spans="3:5" ht="12.75">
      <c r="C53" t="s">
        <v>106</v>
      </c>
      <c r="D53">
        <v>1773</v>
      </c>
      <c r="E53">
        <f>F52+E52*D53</f>
        <v>2591.2866373034594</v>
      </c>
    </row>
    <row r="54" spans="3:11" ht="12.75">
      <c r="C54" t="s">
        <v>107</v>
      </c>
      <c r="D54">
        <v>700</v>
      </c>
      <c r="E54">
        <f>F52+E52*D54</f>
        <v>2869.3316934861214</v>
      </c>
      <c r="K54" s="1"/>
    </row>
    <row r="55" ht="13.5" thickBot="1"/>
    <row r="56" spans="11:12" ht="13.5" thickBot="1">
      <c r="K56" s="10"/>
      <c r="L56" s="10"/>
    </row>
    <row r="57" spans="11:12" ht="13.5" thickBot="1">
      <c r="K57" s="11"/>
      <c r="L57" s="11"/>
    </row>
    <row r="58" spans="11:14" ht="13.5" thickBot="1">
      <c r="K58" s="11"/>
      <c r="L58" s="11"/>
      <c r="M58" s="12"/>
      <c r="N58" s="12"/>
    </row>
    <row r="59" spans="11:14" ht="13.5" thickBot="1">
      <c r="K59" s="11"/>
      <c r="L59" s="11"/>
      <c r="M59" s="12"/>
      <c r="N59" s="12"/>
    </row>
    <row r="60" spans="1:14" ht="13.5" thickBot="1">
      <c r="A60" s="5"/>
      <c r="K60" s="11"/>
      <c r="L60" s="11"/>
      <c r="M60" s="12"/>
      <c r="N60" s="12"/>
    </row>
    <row r="61" spans="1:14" ht="13.5" thickBot="1">
      <c r="A61" s="5"/>
      <c r="K61" s="11"/>
      <c r="L61" s="11"/>
      <c r="M61" s="12"/>
      <c r="N61" s="12"/>
    </row>
    <row r="62" spans="4:14" ht="13.5" thickBot="1">
      <c r="D62" s="13"/>
      <c r="K62" s="11"/>
      <c r="L62" s="11"/>
      <c r="M62" s="12"/>
      <c r="N62" s="12"/>
    </row>
    <row r="63" spans="4:14" ht="13.5" thickBot="1">
      <c r="D63" s="13"/>
      <c r="K63" s="11"/>
      <c r="L63" s="11"/>
      <c r="M63" s="12"/>
      <c r="N63" s="12"/>
    </row>
    <row r="64" spans="4:14" ht="13.5" thickBot="1">
      <c r="D64" s="13"/>
      <c r="K64" s="11"/>
      <c r="L64" s="11"/>
      <c r="M64" s="12"/>
      <c r="N64" s="12"/>
    </row>
    <row r="65" spans="4:14" ht="13.5" thickBot="1">
      <c r="D65" s="13"/>
      <c r="K65" s="11"/>
      <c r="L65" s="11"/>
      <c r="M65" s="12"/>
      <c r="N65" s="12"/>
    </row>
    <row r="66" spans="1:14" ht="13.5" thickBot="1">
      <c r="A66" s="5"/>
      <c r="D66" s="13"/>
      <c r="K66" s="11"/>
      <c r="L66" s="11"/>
      <c r="M66" s="12"/>
      <c r="N66" s="12"/>
    </row>
    <row r="67" spans="1:14" ht="13.5" thickBot="1">
      <c r="A67" s="5"/>
      <c r="D67" s="13"/>
      <c r="K67" s="11"/>
      <c r="L67" s="11"/>
      <c r="M67" s="12"/>
      <c r="N67" s="12"/>
    </row>
    <row r="70" spans="1:12" ht="12.75">
      <c r="A70" s="5"/>
      <c r="K70" s="14"/>
      <c r="L70" s="14"/>
    </row>
    <row r="71" spans="1:19" ht="12.75">
      <c r="A71" s="5"/>
      <c r="K71" s="14"/>
      <c r="L71" s="14"/>
      <c r="P71">
        <f>A60</f>
        <v>0</v>
      </c>
      <c r="Q71">
        <f>A66</f>
        <v>0</v>
      </c>
      <c r="R71">
        <f>A70</f>
        <v>0</v>
      </c>
      <c r="S71">
        <v>6600</v>
      </c>
    </row>
    <row r="72" spans="16:19" ht="12.75">
      <c r="P72">
        <f>A60</f>
        <v>0</v>
      </c>
      <c r="Q72">
        <f>A66</f>
        <v>0</v>
      </c>
      <c r="R72">
        <f>A70</f>
        <v>0</v>
      </c>
      <c r="S72">
        <v>8000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7"/>
  <sheetViews>
    <sheetView workbookViewId="0" topLeftCell="A1">
      <selection activeCell="Q3" sqref="Q3"/>
    </sheetView>
  </sheetViews>
  <sheetFormatPr defaultColWidth="9.140625" defaultRowHeight="12.75"/>
  <cols>
    <col min="2" max="2" width="11.421875" style="0" bestFit="1" customWidth="1"/>
  </cols>
  <sheetData>
    <row r="1" ht="12.75">
      <c r="A1" s="1" t="s">
        <v>56</v>
      </c>
    </row>
    <row r="2" spans="13:18" ht="12.75">
      <c r="M2">
        <v>1473</v>
      </c>
      <c r="N2">
        <f>(4184/Density!B12)*(B5+(B6*M2*0.001)-B7/(M2)^2)</f>
        <v>1269.819550172402</v>
      </c>
      <c r="O2">
        <f>N2*0.001*B13</f>
        <v>20.503602534620164</v>
      </c>
      <c r="Q2">
        <f>R2*1000/B12</f>
        <v>1305.65916064883</v>
      </c>
      <c r="R2">
        <f>4.184*(B5*(M2-298)+B6*0.001*0.5*((M2)^2-(298)^2)+(B7/M2)-(B7/298))/1000</f>
        <v>80.86147423381504</v>
      </c>
    </row>
    <row r="3" spans="1:17" ht="18">
      <c r="A3" s="2"/>
      <c r="O3" s="17" t="s">
        <v>121</v>
      </c>
      <c r="P3" s="17"/>
      <c r="Q3" s="17"/>
    </row>
    <row r="4" spans="1:13" ht="18">
      <c r="A4" s="8"/>
      <c r="F4" s="17" t="s">
        <v>120</v>
      </c>
      <c r="M4" t="s">
        <v>65</v>
      </c>
    </row>
    <row r="5" spans="1:18" ht="15.75">
      <c r="A5" s="2" t="s">
        <v>57</v>
      </c>
      <c r="B5">
        <f>13.38*'Comp''n'!J4+27.5*'Comp''n'!J6+11.67*'Comp''n'!J5+10.2*'Comp''n'!J7+15.7*'Comp''n'!J8+15.7*'Comp''n'!J9+15.7*'Comp''n'!J10+'Comp''n'!J16+11.7*'Comp''n'!J11+11.1*'Comp''n'!J12+14.3*'Comp''n'!J13+16.64*'Comp''n'!J14+17.97*'Comp''n'!J15+30.5*D40+28.53*D41+11.4*D42+11.18*D43+36*D44+12.74*D45+12.34*D46</f>
        <v>14.008819247667043</v>
      </c>
      <c r="D5">
        <f>C5/100</f>
        <v>0</v>
      </c>
      <c r="N5" s="4" t="s">
        <v>74</v>
      </c>
      <c r="O5" s="7" t="s">
        <v>74</v>
      </c>
      <c r="Q5" s="4" t="s">
        <v>111</v>
      </c>
      <c r="R5" s="7" t="s">
        <v>111</v>
      </c>
    </row>
    <row r="6" spans="1:18" ht="12.75">
      <c r="A6" t="s">
        <v>58</v>
      </c>
      <c r="B6">
        <f>(3.68*'Comp''n'!J4+2.82*'Comp''n'!J6+1.08*'Comp''n'!J5+1.78*'Comp''n'!J7+5.4*'Comp''n'!J8+5.4*'Comp''n'!J9+5.4*'Comp''n'!J10+2*'Comp''n'!J11+1.94*'Comp''n'!J15+7.28*'Comp''n'!J13+'Comp''n'!J16+1.8*'Comp''n'!J14+0.28*'Comp''n'!J15+D40*0+D41*H41+D42*H42+D43*H43+D44*H44+D45*H45+D46*H46)</f>
        <v>3.318437521114845</v>
      </c>
      <c r="F6" s="4" t="s">
        <v>74</v>
      </c>
      <c r="G6" s="7" t="s">
        <v>74</v>
      </c>
      <c r="H6" s="4" t="s">
        <v>62</v>
      </c>
      <c r="I6" s="7" t="s">
        <v>62</v>
      </c>
      <c r="N6" s="4" t="s">
        <v>124</v>
      </c>
      <c r="O6" s="7" t="s">
        <v>110</v>
      </c>
      <c r="Q6" s="4" t="s">
        <v>112</v>
      </c>
      <c r="R6" s="7" t="s">
        <v>113</v>
      </c>
    </row>
    <row r="7" spans="1:18" ht="12.75">
      <c r="A7" t="s">
        <v>59</v>
      </c>
      <c r="B7">
        <f>10^5*(3.45*'Comp''n'!J4+8.4*'Comp''n'!J6+1.56*'Comp''n'!J5+1.48*'Comp''n'!J7+0*'Comp''n'!J8+0*'Comp''n'!J9+0*'Comp''n'!J10+'Comp''n'!J16+0.67*'Comp''n'!J11+0.88*'Comp''n'!J12-0.47*'Comp''n'!J13+3.36*'Comp''n'!J14+4.35*'Comp''n'!J15+J40*D40+J41*D41+J42*D42+J43*D43+J44*D44+J45*D45+J46*D46)</f>
        <v>219184.20493991207</v>
      </c>
      <c r="E7" t="s">
        <v>55</v>
      </c>
      <c r="F7" s="4" t="s">
        <v>122</v>
      </c>
      <c r="G7" s="7" t="s">
        <v>110</v>
      </c>
      <c r="H7" t="s">
        <v>63</v>
      </c>
      <c r="I7" t="s">
        <v>113</v>
      </c>
      <c r="M7">
        <f>'Comp''n'!E32</f>
        <v>298</v>
      </c>
      <c r="N7">
        <f>(4184/Density!B12)*(B5+(B6*M7*0.001)-B7/(M7)^2)</f>
        <v>846.4762304370704</v>
      </c>
      <c r="O7">
        <f>N7*0.001*B12</f>
        <v>52.423571143184155</v>
      </c>
      <c r="Q7">
        <f>R7*1000/B12</f>
        <v>0</v>
      </c>
      <c r="R7">
        <f>4.184*(B5*(M7-298)+B6*0.001*0.5*((M7)^2-(298)^2)+(B7/M7)-(B7/298))</f>
        <v>0</v>
      </c>
    </row>
    <row r="8" spans="1:22" ht="12.75">
      <c r="A8" t="s">
        <v>60</v>
      </c>
      <c r="B8">
        <f>P49</f>
        <v>1446.8417563043722</v>
      </c>
      <c r="D8" t="s">
        <v>65</v>
      </c>
      <c r="E8" s="7">
        <f>'Comp''n'!B32</f>
        <v>298</v>
      </c>
      <c r="F8">
        <f>(4184/B12)*(B5+(B6*E8*10^-3)-B7/(E8)^2)</f>
        <v>846.4762304370704</v>
      </c>
      <c r="G8">
        <f>F8/B13</f>
        <v>52.423571143184155</v>
      </c>
      <c r="H8">
        <f>4.184*(B5*(E8-298)+B6*0.001*0.5*((E8)^2-(298)^2)+(B7/E8)-(B7/298))</f>
        <v>0</v>
      </c>
      <c r="I8">
        <f>H8/B13</f>
        <v>0</v>
      </c>
      <c r="M8">
        <f>'Comp''n'!E33</f>
        <v>400</v>
      </c>
      <c r="N8">
        <f>(4184/Density!B12)*(B5+(B6*M8*0.001)-B7/(M8)^2)</f>
        <v>943.5414621796097</v>
      </c>
      <c r="O8">
        <f>N8*0.001*B12</f>
        <v>58.43496980839801</v>
      </c>
      <c r="Q8">
        <f>R8*1000/B12</f>
        <v>1482.9905537173115</v>
      </c>
      <c r="R8">
        <f>4.184*(B5*(M8-298)+B6*0.001*0.5*((M8)^2-(298)^2)+(B7/M8)-(B7/298))/1000*B13</f>
        <v>91.84387936956871</v>
      </c>
      <c r="V8" s="7"/>
    </row>
    <row r="9" spans="1:22" ht="12.75">
      <c r="A9" t="s">
        <v>61</v>
      </c>
      <c r="B9">
        <f>(4184/Density!B12)*(1.1*'Comp''n'!J4+12*'Comp''n'!J6+5.9*'Comp''n'!J5+5.9*'Comp''n'!J7+8.1*'Comp''n'!J8+8.1*'Comp''n'!J9+8.1*'Comp''n'!J10+2.3*'Comp''n'!J11+4.1*'Comp''n'!J12+4.3*'Comp''n'!J13+'Comp''n'!J14+'Comp''n'!J15+'Comp''n'!J16)</f>
        <v>283.7235803203607</v>
      </c>
      <c r="E9" s="7">
        <f>'Comp''n'!B33</f>
        <v>400</v>
      </c>
      <c r="F9">
        <f>(4184/B12)*(B5+(B6*E9*10^-3)-B7/(E9)^2)</f>
        <v>943.5414621796097</v>
      </c>
      <c r="G9">
        <f>F9/B13</f>
        <v>58.434969808398016</v>
      </c>
      <c r="H9">
        <f>4.184*(B5*(E9-298)+B6*0.001*0.5*((E9)^2-(298)^2)+(B7/E9)-(B7/298))/1000*B13</f>
        <v>91.84387936956871</v>
      </c>
      <c r="I9">
        <f>H9/B13</f>
        <v>5.688032305066072</v>
      </c>
      <c r="M9">
        <f>'Comp''n'!E34</f>
        <v>500</v>
      </c>
      <c r="N9">
        <f>(4184/Density!B12)*(B5+(B6*M9*0.001)-B7/(M9)^2)</f>
        <v>999.2777593629661</v>
      </c>
      <c r="O9">
        <f>N9*0.001*B12</f>
        <v>61.8868041725368</v>
      </c>
      <c r="Q9">
        <f>1000*R9/B12</f>
        <v>189.16993733101603</v>
      </c>
      <c r="R9">
        <f>4.184*(B5*(M9-298)+B6*0.001*0.5*((M9)^2-(298)^2)+(B7/M9)-(B7/298))/1000</f>
        <v>11.71558433803117</v>
      </c>
      <c r="V9" s="7"/>
    </row>
    <row r="10" spans="1:22" ht="12.75">
      <c r="A10" t="s">
        <v>87</v>
      </c>
      <c r="B10">
        <f>M18*B9/1000</f>
        <v>397.213012448505</v>
      </c>
      <c r="E10" s="7">
        <f>'Comp''n'!B34</f>
        <v>500</v>
      </c>
      <c r="F10">
        <f>(4184/B12)*(B5+(B6*E10*10^-3)-B7/(E10)^2)</f>
        <v>999.2777593629661</v>
      </c>
      <c r="G10">
        <f>F10/B13</f>
        <v>61.8868041725368</v>
      </c>
      <c r="H10">
        <f>4.184*(B5*(E10-298)+B6*0.001*0.5*((E10)^2-(298)^2)+(B7/E10)-(B7/298))/1000*B13</f>
        <v>189.169937331016</v>
      </c>
      <c r="I10">
        <f>H10/B13</f>
        <v>11.71558433803117</v>
      </c>
      <c r="M10">
        <f>'Comp''n'!E35</f>
        <v>600</v>
      </c>
      <c r="N10">
        <f>(4184/Density!B12)*(B5+(B6*M10*0.001)-B7/(M10)^2)</f>
        <v>1039.7949793912458</v>
      </c>
      <c r="O10">
        <f>N10*0.001*B12</f>
        <v>64.39609774783285</v>
      </c>
      <c r="Q10">
        <f>R10*1000/B12</f>
        <v>291.205839550646</v>
      </c>
      <c r="R10">
        <f>4.184*(B5*(M10-298)+B6*0.001*0.5*((M10)^2-(298)^2)+(B7/M10)-(B7/298))/1000</f>
        <v>18.03482424912448</v>
      </c>
      <c r="V10" s="7"/>
    </row>
    <row r="11" spans="1:22" ht="12.75">
      <c r="A11" t="s">
        <v>88</v>
      </c>
      <c r="E11" s="7">
        <f>'Comp''n'!B35</f>
        <v>600</v>
      </c>
      <c r="F11">
        <f>(4184/B12)*(B5+(B6*E11*10^-3)-B7/(E11)^2)</f>
        <v>1039.7949793912458</v>
      </c>
      <c r="G11">
        <f>F11/B13</f>
        <v>64.39609774783285</v>
      </c>
      <c r="H11">
        <f>4.184*(B5*(E11-298)+B6*0.001*0.5*((E11)^2-(298)^2)+(B7/E11)-(B7/298))/1000*B13</f>
        <v>291.205839550646</v>
      </c>
      <c r="I11">
        <f>H11/B13</f>
        <v>18.03482424912448</v>
      </c>
      <c r="M11">
        <f>'Comp''n'!E36</f>
        <v>700</v>
      </c>
      <c r="N11">
        <f>(4184/Density!B12)*(B5+(B6*M11*0.001)-B7/(M11)^2)</f>
        <v>1073.1265788763676</v>
      </c>
      <c r="O11">
        <f>N11*0.001*B12</f>
        <v>66.4603748227156</v>
      </c>
      <c r="Q11">
        <f>R11*1000/B12</f>
        <v>396.89388954663855</v>
      </c>
      <c r="R11">
        <f>4.184*(B5*(M11-298)+B6*0.001*0.5*((M11)^2-(298)^2)+(B7/M11)-(B7/298))/1000</f>
        <v>24.58024727309824</v>
      </c>
      <c r="V11" s="7"/>
    </row>
    <row r="12" spans="1:22" ht="12.75">
      <c r="A12" t="s">
        <v>51</v>
      </c>
      <c r="B12">
        <f>Density!B12</f>
        <v>61.93153364284749</v>
      </c>
      <c r="E12" s="7">
        <f>'Comp''n'!B36</f>
        <v>700</v>
      </c>
      <c r="F12">
        <f>(4184/B12)*(B5+(B6*E12*10^-3)-B7/(E12)^2)</f>
        <v>1073.1265788763676</v>
      </c>
      <c r="G12">
        <f>F12/B13</f>
        <v>66.4603748227156</v>
      </c>
      <c r="H12">
        <f>4.184*(B5*(E12-298)+B6*0.001*0.5*((E12)^2-(298)^2)+(B7/E12)-(B7/298))/1000*B13</f>
        <v>396.8938895466385</v>
      </c>
      <c r="I12">
        <f>H12/B13</f>
        <v>24.58024727309824</v>
      </c>
      <c r="M12">
        <f>'Comp''n'!E37</f>
        <v>800</v>
      </c>
      <c r="N12">
        <f>(4184/Density!B12)*(B5+(B6*M12*0.001)-B7/(M12)^2)</f>
        <v>1102.6282258231531</v>
      </c>
      <c r="O12">
        <f>N12*0.001*B12</f>
        <v>68.28745706311986</v>
      </c>
      <c r="Q12">
        <f>R12*1000/B12</f>
        <v>505.70523907808376</v>
      </c>
      <c r="R12">
        <f>4.184*(B5*(M12-298)+B6*0.001*0.5*((M12)^2-(298)^2)+(B7/M12)-(B7/298))/1000</f>
        <v>31.31910102732858</v>
      </c>
      <c r="V12" s="7"/>
    </row>
    <row r="13" spans="1:22" ht="12.75">
      <c r="A13" t="s">
        <v>123</v>
      </c>
      <c r="B13">
        <f>1000/B12</f>
        <v>16.14686317582401</v>
      </c>
      <c r="E13" s="7">
        <f>'Comp''n'!B37</f>
        <v>900</v>
      </c>
      <c r="F13">
        <f>(4184/B12)*(B5+(B6*E13*10^-3)-B7/(E13)^2)</f>
        <v>1129.9030206091402</v>
      </c>
      <c r="G13">
        <f>F13/B13</f>
        <v>69.97662693400997</v>
      </c>
      <c r="H13">
        <f>4.184*(B5*(E13-298)+B6*0.001*0.5*((E13)^2-(298)^2)+(B7/E13)-(B7/298))/1000*B13</f>
        <v>617.3460835666982</v>
      </c>
      <c r="I13">
        <f>H13/B13</f>
        <v>38.23318974369111</v>
      </c>
      <c r="K13">
        <f>(1704-422)/(1473-734)</f>
        <v>1.7347767253044655</v>
      </c>
      <c r="M13">
        <f>'Comp''n'!E38</f>
        <v>900</v>
      </c>
      <c r="N13">
        <f>(4184/Density!B12)*(B5+(B6*M13*0.001)-B7/(M13)^2)</f>
        <v>1129.9030206091402</v>
      </c>
      <c r="O13">
        <f>N13*0.001*B12</f>
        <v>69.97662693400997</v>
      </c>
      <c r="Q13">
        <f>R13*1000/B12</f>
        <v>617.3460835666983</v>
      </c>
      <c r="R13">
        <f>4.184*(B5*(M13-298)+B6*0.001*0.5*((M13)^2-(298)^2)+(B7/M13)-(B7/298))/1000</f>
        <v>38.23318974369111</v>
      </c>
      <c r="V13" s="7"/>
    </row>
    <row r="14" spans="1:22" ht="15.75">
      <c r="A14" s="8" t="s">
        <v>125</v>
      </c>
      <c r="B14">
        <f>(((Q20-H15)*1000/(E20-E15))-F15)/0.5*(E21-E15)</f>
        <v>-241520.22786784856</v>
      </c>
      <c r="E14" s="7">
        <f>'Comp''n'!B38</f>
        <v>753.7369293120884</v>
      </c>
      <c r="F14">
        <f>(4184/B12)*(B5+(B6*E14*10^-3)-B7/(E14)^2)</f>
        <v>1089.3291776829785</v>
      </c>
      <c r="G14">
        <f>F14/B13</f>
        <v>67.46382661580878</v>
      </c>
      <c r="H14">
        <f>4.184*(B5*(E14-298)+B6*0.001*0.5*((E14)^2-(298)^2)+(B7/E14)-(B7/298))/1000*B13</f>
        <v>454.9998826832897</v>
      </c>
      <c r="I14">
        <f>H14/B13</f>
        <v>28.17884054189182</v>
      </c>
      <c r="M14">
        <f>'Comp''n'!E39</f>
        <v>1000</v>
      </c>
      <c r="N14">
        <f>(4184/Density!B12)*(B5+(B6*M14*0.001)-B7/(M14)^2)</f>
        <v>1155.7953016295385</v>
      </c>
      <c r="O14">
        <f>N14*0.001*B12</f>
        <v>71.58017560711484</v>
      </c>
      <c r="Q14">
        <f>R14*1000/B12</f>
        <v>731.6401402655124</v>
      </c>
      <c r="R14">
        <f>4.184*(B5*(M14-298)+B6*0.001*0.5*((M14)^2-(298)^2)+(B7/M14)-(B7/298))/1000</f>
        <v>45.311595961311234</v>
      </c>
      <c r="V14" s="7"/>
    </row>
    <row r="15" spans="1:22" ht="12.75">
      <c r="A15" t="s">
        <v>276</v>
      </c>
      <c r="B15">
        <f>((Q20-H15)*1000/(E21-E15))</f>
        <v>1606.9208034729995</v>
      </c>
      <c r="E15" s="7">
        <f>'Comp''n'!B39</f>
        <v>753.7369293120884</v>
      </c>
      <c r="F15">
        <f>F14+300</f>
        <v>1389.3291776829785</v>
      </c>
      <c r="G15">
        <f>F15/B13</f>
        <v>86.04328670866303</v>
      </c>
      <c r="H15">
        <f>4.184*(B5*(E15-298)+B6*0.001*0.5*((E15)^2-(298)^2)+(B7/E15)-(B7/298))/1000*B13</f>
        <v>454.9998826832897</v>
      </c>
      <c r="I15">
        <f>H15/B13</f>
        <v>28.17884054189182</v>
      </c>
      <c r="M15">
        <f>'Comp''n'!E40</f>
        <v>1100</v>
      </c>
      <c r="N15">
        <f>(4184/Density!B12)*(B5+(B6*M15*0.001)-B7/(M15)^2)</f>
        <v>1180.7840998475904</v>
      </c>
      <c r="O15">
        <f>N15*0.001*B12</f>
        <v>73.12777020465045</v>
      </c>
      <c r="Q15">
        <f>R15*1000/B12</f>
        <v>848.4752292446354</v>
      </c>
      <c r="R15">
        <f>4.184*(B5*(M15-298)+B6*0.001*0.5*((M15)^2-(298)^2)+(B7/M15)-(B7/298))/1000</f>
        <v>52.54737220508687</v>
      </c>
      <c r="V15" s="7"/>
    </row>
    <row r="16" spans="1:22" ht="15.75">
      <c r="A16" s="8" t="s">
        <v>275</v>
      </c>
      <c r="B16">
        <f>2*(B15-F15)/(E21-E15)</f>
        <v>0.6050404494753604</v>
      </c>
      <c r="E16" s="7">
        <f>'Comp''n'!B40</f>
        <v>1200</v>
      </c>
      <c r="F16">
        <f>F15+(E16-E15)*B16</f>
        <v>1659.3363865562471</v>
      </c>
      <c r="G16">
        <f>F16/B13</f>
        <v>102.76524724880922</v>
      </c>
      <c r="H16">
        <f>H15+0.001*(F16+F15)*0.5*(E16-E15)</f>
        <v>1135.2533107822355</v>
      </c>
      <c r="I16">
        <f>H16/B13</f>
        <v>70.30797860986402</v>
      </c>
      <c r="M16">
        <f>'Comp''n'!E41</f>
        <v>1200</v>
      </c>
      <c r="N16">
        <f>(4184/Density!B12)*(B5+(B6*M16*0.001)-B7/(M16)^2)</f>
        <v>1205.1576081471549</v>
      </c>
      <c r="O16">
        <f>N16*0.001*B12</f>
        <v>74.63725895389913</v>
      </c>
      <c r="Q16">
        <f>R16*1000/B12</f>
        <v>967.7765638841413</v>
      </c>
      <c r="R16">
        <f>4.184*(B5*(M16-298)+B6*0.001*0.5*((M16)^2-(298)^2)+(B7/M16)-(B7/298))/1000</f>
        <v>59.93588682495004</v>
      </c>
      <c r="V16" s="7"/>
    </row>
    <row r="17" spans="5:18" ht="12.75">
      <c r="E17" s="7">
        <f>'Comp''n'!B41</f>
        <v>1300</v>
      </c>
      <c r="F17">
        <f>F15+(E17-E15)*B16</f>
        <v>1719.840431503783</v>
      </c>
      <c r="G17">
        <f>F17/B13</f>
        <v>106.5123555440059</v>
      </c>
      <c r="H17">
        <f>H16+0.0005*(F16+F17)*(E17-E16)</f>
        <v>1304.2121516852371</v>
      </c>
      <c r="I17">
        <f>H17/B13</f>
        <v>80.77185874950479</v>
      </c>
      <c r="M17">
        <f>'Comp''n'!E42</f>
        <v>1300</v>
      </c>
      <c r="N17">
        <f>(4184/Density!B12)*(B5+(B6*M17*0.001)-B7/(M17)^2)</f>
        <v>1229.0976437034647</v>
      </c>
      <c r="O17">
        <f>N17*0.001*B12</f>
        <v>76.1199020713657</v>
      </c>
      <c r="Q17">
        <f>R17*1000/B12</f>
        <v>1089.4923688317729</v>
      </c>
      <c r="R17">
        <f>4.184*(B5*(M17-298)+B6*0.001*0.5*((M17)^2-(298)^2)+(B7/M17)-(B7/298))/1000</f>
        <v>67.47393329393054</v>
      </c>
    </row>
    <row r="18" spans="1:22" ht="15.75">
      <c r="A18" s="8"/>
      <c r="E18" s="7">
        <f>'Comp''n'!B42</f>
        <v>1400</v>
      </c>
      <c r="F18">
        <f>F15+(E18-E15)*B16</f>
        <v>1780.3444764513192</v>
      </c>
      <c r="G18">
        <f>F18/B13</f>
        <v>110.2594638392026</v>
      </c>
      <c r="H18">
        <f>H17+0.0005*(F17+F18)*(E18-E17)</f>
        <v>1479.2213970829923</v>
      </c>
      <c r="I18">
        <f>H18/B13</f>
        <v>91.61044971866521</v>
      </c>
      <c r="L18" t="s">
        <v>41</v>
      </c>
      <c r="M18">
        <f>'Comp''n'!E43</f>
        <v>1400</v>
      </c>
      <c r="N18">
        <f>(4184/Density!B12)*(B5+(B6*M18*0.001)-B7/(M18)^2)</f>
        <v>1252.7235095289816</v>
      </c>
      <c r="O18">
        <f>N18*0.001*B13</f>
        <v>20.22755510550253</v>
      </c>
      <c r="Q18">
        <f>R18*1000/B12</f>
        <v>1213.5856616930607</v>
      </c>
      <c r="R18">
        <f>4.184*(B5*(M18-298)+B6*0.001*0.5*((M18)^2-(298)^2)+(B7/M18)-(B7/298))/1000</f>
        <v>75.15922123562112</v>
      </c>
      <c r="V18" s="7"/>
    </row>
    <row r="19" spans="5:22" ht="12.75">
      <c r="E19" s="7">
        <f>'Comp''n'!B43</f>
        <v>1600</v>
      </c>
      <c r="F19">
        <f>F15+(E19-E15)*B16</f>
        <v>1901.3525663463913</v>
      </c>
      <c r="G19">
        <f>F19/B13</f>
        <v>117.75368042959596</v>
      </c>
      <c r="H19">
        <f>H18+0.0005*(F18+F19)*(E19-E18)</f>
        <v>1847.3911013627635</v>
      </c>
      <c r="I19">
        <f>H19/B13</f>
        <v>114.41176414554508</v>
      </c>
      <c r="M19">
        <f>'Comp''n'!E44</f>
        <v>1450</v>
      </c>
      <c r="N19">
        <f>(4184/Density!B12)*(B5+(B6*M19*0.001)-B7/(M19)^2)</f>
        <v>1264.4449879583897</v>
      </c>
      <c r="O19">
        <f>N19*0.001*B13</f>
        <v>20.416820213920555</v>
      </c>
      <c r="Q19">
        <f>R19*1000/B12</f>
        <v>1276.515098713327</v>
      </c>
      <c r="R19">
        <f>4.184*(B5*(M19-298)+B6*0.001*0.5*((M19)^2-(298)^2)+(B7/M19)-(B7/298))/1000</f>
        <v>79.0565377815672</v>
      </c>
      <c r="U19" s="1"/>
      <c r="V19" s="1"/>
    </row>
    <row r="20" spans="4:22" ht="12.75">
      <c r="D20" t="s">
        <v>277</v>
      </c>
      <c r="E20" s="7">
        <f>'Comp''n'!B44</f>
        <v>1700</v>
      </c>
      <c r="F20">
        <f>F15+(E20-E15)*B16</f>
        <v>1961.8566112939275</v>
      </c>
      <c r="G20">
        <f>F20/B13</f>
        <v>121.50078872479266</v>
      </c>
      <c r="H20">
        <f>H19+0.0005*(F19+F20)*(E20-E19)</f>
        <v>2040.5515602447795</v>
      </c>
      <c r="I20">
        <f>H20/B13</f>
        <v>126.37448760326451</v>
      </c>
      <c r="L20" t="s">
        <v>41</v>
      </c>
      <c r="M20" s="4">
        <f>E21</f>
        <v>1473</v>
      </c>
      <c r="N20">
        <f>P49</f>
        <v>1446.8417563043722</v>
      </c>
      <c r="O20">
        <f>N20*B12/1000</f>
        <v>89.60512890644078</v>
      </c>
      <c r="Q20">
        <f>Q18+B10</f>
        <v>1610.7986741415657</v>
      </c>
      <c r="R20">
        <f>Q20*B12/1000</f>
        <v>99.7592322794525</v>
      </c>
      <c r="V20" s="7"/>
    </row>
    <row r="21" spans="2:22" ht="15.75">
      <c r="B21" s="2"/>
      <c r="D21" t="s">
        <v>41</v>
      </c>
      <c r="E21" s="4">
        <f>'Comp''n'!B45</f>
        <v>1473</v>
      </c>
      <c r="F21">
        <f>F15+(E21-E15)*B16</f>
        <v>1824.5124292630205</v>
      </c>
      <c r="G21">
        <f>F21/B13</f>
        <v>112.99485289469617</v>
      </c>
      <c r="H21">
        <f>H20+0.0005*(F20+F21)*(E21-E20)</f>
        <v>1610.798674141566</v>
      </c>
      <c r="I21">
        <f>H21/B13</f>
        <v>99.75923227945253</v>
      </c>
      <c r="M21" s="7">
        <v>1600</v>
      </c>
      <c r="N21">
        <f>P49</f>
        <v>1446.8417563043722</v>
      </c>
      <c r="O21">
        <f>N21*B12/1000</f>
        <v>89.60512890644078</v>
      </c>
      <c r="Q21">
        <f>Q20+(M21-1818)*0.001*O21</f>
        <v>1591.2647560399616</v>
      </c>
      <c r="R21">
        <f>Q21*B12/1000</f>
        <v>98.54946677336639</v>
      </c>
      <c r="V21" s="7"/>
    </row>
    <row r="22" spans="4:18" ht="12.75">
      <c r="D22" t="s">
        <v>64</v>
      </c>
      <c r="E22" s="4">
        <f>'Comp''n'!B47</f>
        <v>1473</v>
      </c>
      <c r="F22">
        <f>N20</f>
        <v>1446.8417563043722</v>
      </c>
      <c r="G22">
        <f>F22/B13</f>
        <v>89.60512890644078</v>
      </c>
      <c r="H22">
        <f>H21</f>
        <v>1610.798674141566</v>
      </c>
      <c r="I22">
        <f>H22/B13</f>
        <v>99.75923227945253</v>
      </c>
      <c r="M22" s="15">
        <v>1800</v>
      </c>
      <c r="N22">
        <f>P49</f>
        <v>1446.8417563043722</v>
      </c>
      <c r="O22">
        <f>N22*B12/1000</f>
        <v>89.60512890644078</v>
      </c>
      <c r="Q22">
        <f>Q20+(M22-1818)*0.001*O22</f>
        <v>1609.1857818212497</v>
      </c>
      <c r="R22">
        <f>Q22*B12/1000</f>
        <v>99.65934338445456</v>
      </c>
    </row>
    <row r="23" spans="5:18" ht="12.75">
      <c r="E23" s="4">
        <f>'Comp''n'!B48</f>
        <v>1573</v>
      </c>
      <c r="F23">
        <f>N21</f>
        <v>1446.8417563043722</v>
      </c>
      <c r="G23">
        <f>F23/B13</f>
        <v>89.60512890644078</v>
      </c>
      <c r="H23">
        <f>H21+F23*(E23-E21)*0.001</f>
        <v>1755.4828497720032</v>
      </c>
      <c r="I23">
        <f>H23/B13</f>
        <v>108.71974517009662</v>
      </c>
      <c r="M23" s="15">
        <v>1900</v>
      </c>
      <c r="N23">
        <f>P49</f>
        <v>1446.8417563043722</v>
      </c>
      <c r="O23">
        <f>N23*B12/1000</f>
        <v>89.60512890644078</v>
      </c>
      <c r="Q23">
        <f>Q20+(M23-1818)*0.001*O23</f>
        <v>1618.146294711894</v>
      </c>
      <c r="R23">
        <f>Q23*B12/1000</f>
        <v>100.21428168999867</v>
      </c>
    </row>
    <row r="24" spans="2:18" ht="12.75">
      <c r="B24">
        <f>4*10^-7</f>
        <v>4E-07</v>
      </c>
      <c r="E24" s="4">
        <f>'Comp''n'!B49</f>
        <v>1673</v>
      </c>
      <c r="F24">
        <f>N22</f>
        <v>1446.8417563043722</v>
      </c>
      <c r="G24">
        <f>F24/B13</f>
        <v>89.60512890644078</v>
      </c>
      <c r="H24">
        <f>H21+F24*(E24-E21)*0.001</f>
        <v>1900.1670254024402</v>
      </c>
      <c r="I24">
        <f>H24/B13</f>
        <v>117.68025806074068</v>
      </c>
      <c r="M24" s="7">
        <v>2000</v>
      </c>
      <c r="N24">
        <f>P49</f>
        <v>1446.8417563043722</v>
      </c>
      <c r="O24">
        <f>N24*B12/1000</f>
        <v>89.60512890644078</v>
      </c>
      <c r="Q24">
        <f>Q20+(M24-1818)*0.001*O24</f>
        <v>1627.1068076025379</v>
      </c>
      <c r="R24">
        <f>Q24*B12/1000</f>
        <v>100.76921999554276</v>
      </c>
    </row>
    <row r="25" spans="2:22" ht="12.75">
      <c r="B25">
        <v>7E-07</v>
      </c>
      <c r="E25" s="4">
        <f>'Comp''n'!B50</f>
        <v>1773</v>
      </c>
      <c r="F25">
        <f>N23</f>
        <v>1446.8417563043722</v>
      </c>
      <c r="G25">
        <f>F25/B13</f>
        <v>89.60512890644078</v>
      </c>
      <c r="H25">
        <f>H21+F25*(E25-E21)*0.001</f>
        <v>2044.8512010328777</v>
      </c>
      <c r="I25">
        <f>H25/B13</f>
        <v>126.64077095138478</v>
      </c>
      <c r="M25" s="7">
        <v>2100</v>
      </c>
      <c r="N25">
        <f>P49</f>
        <v>1446.8417563043722</v>
      </c>
      <c r="O25">
        <f>N25*B12/1000</f>
        <v>89.60512890644078</v>
      </c>
      <c r="Q25" t="e">
        <f>Q18:Q19</f>
        <v>#VALUE!</v>
      </c>
      <c r="R25" t="e">
        <f>Q25*B12/1000</f>
        <v>#VALUE!</v>
      </c>
      <c r="U25">
        <v>700</v>
      </c>
      <c r="V25">
        <v>0</v>
      </c>
    </row>
    <row r="26" spans="2:22" ht="12.75">
      <c r="B26">
        <f>10^-7*(4+'Electrical cond'!D5*3)</f>
        <v>4E-07</v>
      </c>
      <c r="E26" s="4">
        <f>'Comp''n'!B51</f>
        <v>1873</v>
      </c>
      <c r="F26">
        <f>N24</f>
        <v>1446.8417563043722</v>
      </c>
      <c r="G26">
        <f>F26/B13</f>
        <v>89.60512890644078</v>
      </c>
      <c r="H26">
        <f>H21+F26*(E26-E21)*0.001</f>
        <v>2189.5353766633148</v>
      </c>
      <c r="I26">
        <f>H26/B13</f>
        <v>135.60128384202883</v>
      </c>
      <c r="M26" s="7"/>
      <c r="U26">
        <v>2500</v>
      </c>
      <c r="V26">
        <v>3000</v>
      </c>
    </row>
    <row r="27" spans="4:17" ht="12.75">
      <c r="D27" t="s">
        <v>212</v>
      </c>
      <c r="F27" t="s">
        <v>57</v>
      </c>
      <c r="G27" t="s">
        <v>57</v>
      </c>
      <c r="H27" t="s">
        <v>58</v>
      </c>
      <c r="I27" t="s">
        <v>58</v>
      </c>
      <c r="J27" t="s">
        <v>59</v>
      </c>
      <c r="K27" t="s">
        <v>59</v>
      </c>
      <c r="L27" t="s">
        <v>60</v>
      </c>
      <c r="M27" s="7"/>
      <c r="N27" t="s">
        <v>61</v>
      </c>
      <c r="P27" t="s">
        <v>114</v>
      </c>
      <c r="Q27" t="s">
        <v>117</v>
      </c>
    </row>
    <row r="28" spans="3:17" ht="12.75">
      <c r="C28" s="16" t="s">
        <v>109</v>
      </c>
      <c r="D28">
        <f>'Comp''n'!J4</f>
        <v>0.4000171641944302</v>
      </c>
      <c r="E28" t="s">
        <v>0</v>
      </c>
      <c r="F28">
        <v>13.38</v>
      </c>
      <c r="G28">
        <f>4.184*F28</f>
        <v>55.98192</v>
      </c>
      <c r="H28">
        <v>3.68</v>
      </c>
      <c r="I28">
        <f>4.184*H28</f>
        <v>15.397120000000001</v>
      </c>
      <c r="J28">
        <v>3.45</v>
      </c>
      <c r="K28">
        <f>4.184*J28</f>
        <v>14.434800000000001</v>
      </c>
      <c r="L28">
        <v>20.79</v>
      </c>
      <c r="M28">
        <f>L28*4.184</f>
        <v>86.98536</v>
      </c>
      <c r="N28">
        <v>1.1</v>
      </c>
      <c r="O28">
        <f>N28*4.184</f>
        <v>4.6024</v>
      </c>
      <c r="P28">
        <f>'Comp''n'!J4*'Cp,enthalpy'!M28</f>
        <v>34.79563703363162</v>
      </c>
      <c r="Q28">
        <f>'Comp''n'!J4*'Cp,enthalpy'!O28</f>
        <v>1.8410389964884455</v>
      </c>
    </row>
    <row r="29" spans="4:17" ht="12.75">
      <c r="D29">
        <f>'Comp''n'!J5</f>
        <v>0.31413494346269094</v>
      </c>
      <c r="E29" t="s">
        <v>1</v>
      </c>
      <c r="F29">
        <v>11.67</v>
      </c>
      <c r="G29">
        <f aca="true" t="shared" si="0" ref="G29:G47">4.184*F29</f>
        <v>48.82728</v>
      </c>
      <c r="H29">
        <v>1.08</v>
      </c>
      <c r="I29">
        <f aca="true" t="shared" si="1" ref="I29:I46">4.184*H29</f>
        <v>4.51872</v>
      </c>
      <c r="J29">
        <v>1.56</v>
      </c>
      <c r="K29">
        <f aca="true" t="shared" si="2" ref="K29:K46">4.184*J29</f>
        <v>6.52704</v>
      </c>
      <c r="L29">
        <v>19.3</v>
      </c>
      <c r="M29">
        <f aca="true" t="shared" si="3" ref="M29:M47">L29*4.184</f>
        <v>80.75120000000001</v>
      </c>
      <c r="N29">
        <v>5.9</v>
      </c>
      <c r="O29">
        <f aca="true" t="shared" si="4" ref="O29:O47">N29*4.184</f>
        <v>24.6856</v>
      </c>
      <c r="P29">
        <f>'Comp''n'!J5*'Cp,enthalpy'!M29</f>
        <v>25.366773646544452</v>
      </c>
      <c r="Q29">
        <f>'Comp''n'!J5*'Cp,enthalpy'!O29</f>
        <v>7.754609560342604</v>
      </c>
    </row>
    <row r="30" spans="4:17" ht="12.75">
      <c r="D30">
        <f>'Comp''n'!J6</f>
        <v>0.038194886112509575</v>
      </c>
      <c r="E30" t="s">
        <v>2</v>
      </c>
      <c r="F30">
        <v>27.5</v>
      </c>
      <c r="G30">
        <f t="shared" si="0"/>
        <v>115.06</v>
      </c>
      <c r="H30">
        <v>2.82</v>
      </c>
      <c r="I30">
        <f t="shared" si="1"/>
        <v>11.79888</v>
      </c>
      <c r="J30">
        <v>8.4</v>
      </c>
      <c r="K30">
        <f t="shared" si="2"/>
        <v>35.1456</v>
      </c>
      <c r="L30">
        <v>35</v>
      </c>
      <c r="M30">
        <f t="shared" si="3"/>
        <v>146.44</v>
      </c>
      <c r="N30">
        <v>12</v>
      </c>
      <c r="O30">
        <f t="shared" si="4"/>
        <v>50.208</v>
      </c>
      <c r="P30">
        <f>'Comp''n'!J6*'Cp,enthalpy'!M30</f>
        <v>5.593259122315902</v>
      </c>
      <c r="Q30">
        <f>'Comp''n'!J6*'Cp,enthalpy'!O30</f>
        <v>1.9176888419368807</v>
      </c>
    </row>
    <row r="31" spans="4:17" ht="12.75">
      <c r="D31">
        <f>'Comp''n'!J7</f>
        <v>0.016096190632194897</v>
      </c>
      <c r="E31" t="s">
        <v>3</v>
      </c>
      <c r="F31">
        <v>10.2</v>
      </c>
      <c r="G31">
        <f t="shared" si="0"/>
        <v>42.6768</v>
      </c>
      <c r="H31">
        <v>1.78</v>
      </c>
      <c r="I31">
        <f t="shared" si="1"/>
        <v>7.447520000000001</v>
      </c>
      <c r="J31">
        <v>1.48</v>
      </c>
      <c r="K31">
        <f t="shared" si="2"/>
        <v>6.1923200000000005</v>
      </c>
      <c r="L31">
        <v>21.6</v>
      </c>
      <c r="M31">
        <f t="shared" si="3"/>
        <v>90.37440000000001</v>
      </c>
      <c r="N31">
        <v>5.9</v>
      </c>
      <c r="O31">
        <f t="shared" si="4"/>
        <v>24.6856</v>
      </c>
      <c r="P31">
        <f>'Comp''n'!J7*'Cp,enthalpy'!M31</f>
        <v>1.4546835706702346</v>
      </c>
      <c r="Q31">
        <f>'Comp''n'!J7*'Cp,enthalpy'!O31</f>
        <v>0.3973441234701104</v>
      </c>
    </row>
    <row r="32" spans="4:17" ht="12.75">
      <c r="D32">
        <f>'Comp''n'!J8</f>
        <v>0.10462523910926683</v>
      </c>
      <c r="E32" t="s">
        <v>4</v>
      </c>
      <c r="F32">
        <v>15.7</v>
      </c>
      <c r="G32">
        <f t="shared" si="0"/>
        <v>65.6888</v>
      </c>
      <c r="H32">
        <v>5.4</v>
      </c>
      <c r="I32">
        <f t="shared" si="1"/>
        <v>22.593600000000002</v>
      </c>
      <c r="J32">
        <v>0</v>
      </c>
      <c r="K32">
        <f t="shared" si="2"/>
        <v>0</v>
      </c>
      <c r="L32">
        <v>22</v>
      </c>
      <c r="M32">
        <f t="shared" si="3"/>
        <v>92.048</v>
      </c>
      <c r="N32">
        <v>8.1</v>
      </c>
      <c r="O32">
        <f t="shared" si="4"/>
        <v>33.8904</v>
      </c>
      <c r="P32">
        <f>'Comp''n'!J8*'Cp,enthalpy'!M32</f>
        <v>9.630544009529793</v>
      </c>
      <c r="Q32">
        <f>'Comp''n'!J8*'Cp,enthalpy'!O32</f>
        <v>3.5457912035086965</v>
      </c>
    </row>
    <row r="33" spans="4:17" ht="12.75">
      <c r="D33">
        <f>'Comp''n'!J9</f>
        <v>0.00688616223436788</v>
      </c>
      <c r="E33" t="s">
        <v>5</v>
      </c>
      <c r="F33">
        <v>15.7</v>
      </c>
      <c r="G33">
        <f t="shared" si="0"/>
        <v>65.6888</v>
      </c>
      <c r="H33">
        <v>5.4</v>
      </c>
      <c r="I33">
        <f t="shared" si="1"/>
        <v>22.593600000000002</v>
      </c>
      <c r="J33">
        <v>0</v>
      </c>
      <c r="K33">
        <f t="shared" si="2"/>
        <v>0</v>
      </c>
      <c r="L33">
        <v>17.7</v>
      </c>
      <c r="M33">
        <f t="shared" si="3"/>
        <v>74.0568</v>
      </c>
      <c r="N33">
        <v>8.1</v>
      </c>
      <c r="O33">
        <f t="shared" si="4"/>
        <v>33.8904</v>
      </c>
      <c r="P33">
        <f>'Comp''n'!J9*'Cp,enthalpy'!M33</f>
        <v>0.5099671393581352</v>
      </c>
      <c r="Q33">
        <f>'Comp''n'!J9*'Cp,enthalpy'!O33</f>
        <v>0.23337479258762117</v>
      </c>
    </row>
    <row r="34" spans="4:17" ht="12.75">
      <c r="D34">
        <f>'Comp''n'!J10</f>
        <v>0</v>
      </c>
      <c r="E34" t="s">
        <v>8</v>
      </c>
      <c r="F34">
        <v>15.7</v>
      </c>
      <c r="G34">
        <f t="shared" si="0"/>
        <v>65.6888</v>
      </c>
      <c r="H34">
        <v>5.4</v>
      </c>
      <c r="I34">
        <f t="shared" si="1"/>
        <v>22.593600000000002</v>
      </c>
      <c r="J34">
        <v>0</v>
      </c>
      <c r="K34">
        <f t="shared" si="2"/>
        <v>0</v>
      </c>
      <c r="L34">
        <v>23</v>
      </c>
      <c r="M34">
        <f t="shared" si="3"/>
        <v>96.232</v>
      </c>
      <c r="N34">
        <v>8.1</v>
      </c>
      <c r="O34">
        <f t="shared" si="4"/>
        <v>33.8904</v>
      </c>
      <c r="P34">
        <f>'Comp''n'!J10*'Cp,enthalpy'!M34</f>
        <v>0</v>
      </c>
      <c r="Q34">
        <f>'Comp''n'!J10*'Cp,enthalpy'!O34</f>
        <v>0</v>
      </c>
    </row>
    <row r="35" spans="4:17" ht="12.75">
      <c r="D35">
        <f>'Comp''n'!J11</f>
        <v>0</v>
      </c>
      <c r="E35" t="s">
        <v>6</v>
      </c>
      <c r="F35">
        <v>11.7</v>
      </c>
      <c r="G35">
        <f t="shared" si="0"/>
        <v>48.952799999999996</v>
      </c>
      <c r="H35">
        <v>2</v>
      </c>
      <c r="I35">
        <f t="shared" si="1"/>
        <v>8.368</v>
      </c>
      <c r="J35">
        <v>0.67</v>
      </c>
      <c r="K35">
        <f t="shared" si="2"/>
        <v>2.8032800000000004</v>
      </c>
      <c r="L35">
        <v>18.3</v>
      </c>
      <c r="M35">
        <f t="shared" si="3"/>
        <v>76.5672</v>
      </c>
      <c r="N35">
        <v>2.3</v>
      </c>
      <c r="O35">
        <f t="shared" si="4"/>
        <v>9.623199999999999</v>
      </c>
      <c r="P35">
        <f>'Comp''n'!J11*'Cp,enthalpy'!M35</f>
        <v>0</v>
      </c>
      <c r="Q35">
        <f>'Comp''n'!J11*'Cp,enthalpy'!O35</f>
        <v>0</v>
      </c>
    </row>
    <row r="36" spans="4:17" ht="12.75">
      <c r="D36">
        <f>'Comp''n'!J12</f>
        <v>0</v>
      </c>
      <c r="E36" t="s">
        <v>7</v>
      </c>
      <c r="F36">
        <v>11.1</v>
      </c>
      <c r="G36">
        <f t="shared" si="0"/>
        <v>46.4424</v>
      </c>
      <c r="H36">
        <v>1.94</v>
      </c>
      <c r="I36">
        <f t="shared" si="1"/>
        <v>8.11696</v>
      </c>
      <c r="J36">
        <v>0.88</v>
      </c>
      <c r="K36">
        <f t="shared" si="2"/>
        <v>3.6819200000000003</v>
      </c>
      <c r="L36">
        <v>19.1</v>
      </c>
      <c r="M36">
        <f t="shared" si="3"/>
        <v>79.91440000000001</v>
      </c>
      <c r="N36">
        <v>4.5</v>
      </c>
      <c r="O36">
        <f t="shared" si="4"/>
        <v>18.828</v>
      </c>
      <c r="P36">
        <f>'Comp''n'!J12*'Cp,enthalpy'!M36</f>
        <v>0</v>
      </c>
      <c r="Q36">
        <f>'Comp''n'!J12*'Cp,enthalpy'!O36</f>
        <v>0</v>
      </c>
    </row>
    <row r="37" spans="4:29" ht="12.75">
      <c r="D37">
        <f>'Comp''n'!J13</f>
        <v>0.10242260249644017</v>
      </c>
      <c r="E37" t="s">
        <v>29</v>
      </c>
      <c r="F37">
        <v>14.3</v>
      </c>
      <c r="G37">
        <f t="shared" si="0"/>
        <v>59.8312</v>
      </c>
      <c r="H37">
        <v>7.28</v>
      </c>
      <c r="I37">
        <f t="shared" si="1"/>
        <v>30.45952</v>
      </c>
      <c r="J37">
        <v>-0.47</v>
      </c>
      <c r="K37">
        <f t="shared" si="2"/>
        <v>-1.96648</v>
      </c>
      <c r="L37">
        <v>23</v>
      </c>
      <c r="M37">
        <f t="shared" si="3"/>
        <v>96.232</v>
      </c>
      <c r="N37">
        <v>4.3</v>
      </c>
      <c r="O37">
        <f t="shared" si="4"/>
        <v>17.9912</v>
      </c>
      <c r="P37">
        <f>'Comp''n'!J13*'Cp,enthalpy'!M37</f>
        <v>9.85633188343743</v>
      </c>
      <c r="Q37">
        <f>'Comp''n'!J13*'Cp,enthalpy'!O37</f>
        <v>1.8427055260339542</v>
      </c>
      <c r="AC37" s="1"/>
    </row>
    <row r="38" spans="4:17" ht="13.5" thickBot="1">
      <c r="D38">
        <f>'Comp''n'!J14</f>
        <v>0</v>
      </c>
      <c r="E38" t="s">
        <v>9</v>
      </c>
      <c r="F38">
        <v>16.64</v>
      </c>
      <c r="G38">
        <f t="shared" si="0"/>
        <v>69.62176000000001</v>
      </c>
      <c r="H38">
        <v>1.8</v>
      </c>
      <c r="I38">
        <f t="shared" si="1"/>
        <v>7.5312</v>
      </c>
      <c r="J38">
        <v>3.36</v>
      </c>
      <c r="K38">
        <f t="shared" si="2"/>
        <v>14.05824</v>
      </c>
      <c r="L38" s="27">
        <v>27</v>
      </c>
      <c r="M38">
        <f t="shared" si="3"/>
        <v>112.968</v>
      </c>
      <c r="N38" s="26">
        <v>6</v>
      </c>
      <c r="O38">
        <f t="shared" si="4"/>
        <v>25.104</v>
      </c>
      <c r="P38">
        <f>'Comp''n'!J14*'Cp,enthalpy'!M38</f>
        <v>0</v>
      </c>
      <c r="Q38">
        <f>'Comp''n'!J14*'Cp,enthalpy'!O38</f>
        <v>0</v>
      </c>
    </row>
    <row r="39" spans="4:30" ht="13.5" thickBot="1">
      <c r="D39">
        <f>'Comp''n'!J15</f>
        <v>0</v>
      </c>
      <c r="E39" t="s">
        <v>10</v>
      </c>
      <c r="F39">
        <v>17.97</v>
      </c>
      <c r="G39">
        <f t="shared" si="0"/>
        <v>75.18648</v>
      </c>
      <c r="H39">
        <v>0.28</v>
      </c>
      <c r="I39">
        <f t="shared" si="1"/>
        <v>1.1715200000000001</v>
      </c>
      <c r="J39">
        <v>4.35</v>
      </c>
      <c r="K39">
        <f t="shared" si="2"/>
        <v>18.2004</v>
      </c>
      <c r="L39">
        <v>26.7</v>
      </c>
      <c r="M39">
        <f t="shared" si="3"/>
        <v>111.7128</v>
      </c>
      <c r="N39">
        <v>6.3</v>
      </c>
      <c r="O39">
        <f t="shared" si="4"/>
        <v>26.3592</v>
      </c>
      <c r="P39">
        <f>'Comp''n'!J15*'Cp,enthalpy'!M39</f>
        <v>0</v>
      </c>
      <c r="Q39">
        <f>'Comp''n'!J15*'Cp,enthalpy'!O39</f>
        <v>0</v>
      </c>
      <c r="AC39" s="10"/>
      <c r="AD39" s="10"/>
    </row>
    <row r="40" spans="4:17" ht="12.75">
      <c r="D40">
        <f>'Comp''n'!J16</f>
        <v>0.009293359347814532</v>
      </c>
      <c r="E40" t="s">
        <v>11</v>
      </c>
      <c r="F40">
        <v>30.5</v>
      </c>
      <c r="G40">
        <f t="shared" si="0"/>
        <v>127.61200000000001</v>
      </c>
      <c r="H40">
        <v>0</v>
      </c>
      <c r="I40">
        <f>4.184*H40</f>
        <v>0</v>
      </c>
      <c r="J40">
        <v>0</v>
      </c>
      <c r="K40">
        <f t="shared" si="2"/>
        <v>0</v>
      </c>
      <c r="L40">
        <v>30.3</v>
      </c>
      <c r="M40">
        <f t="shared" si="3"/>
        <v>126.77520000000001</v>
      </c>
      <c r="N40">
        <v>7.3</v>
      </c>
      <c r="O40">
        <f t="shared" si="4"/>
        <v>30.5432</v>
      </c>
      <c r="P40">
        <f>'Comp''n'!J16*'Cp,enthalpy'!M40</f>
        <v>1.178167489991057</v>
      </c>
      <c r="Q40">
        <f>'Comp''n'!J16*'Cp,enthalpy'!O40</f>
        <v>0.2838489332321688</v>
      </c>
    </row>
    <row r="41" spans="4:17" ht="12.75">
      <c r="D41">
        <f>'Comp''n'!J17</f>
        <v>0.004267608437351673</v>
      </c>
      <c r="E41" t="s">
        <v>99</v>
      </c>
      <c r="F41">
        <v>28.53</v>
      </c>
      <c r="G41">
        <f t="shared" si="0"/>
        <v>119.36952000000001</v>
      </c>
      <c r="H41">
        <v>3.2</v>
      </c>
      <c r="I41">
        <f t="shared" si="1"/>
        <v>13.388800000000002</v>
      </c>
      <c r="J41">
        <v>3.73</v>
      </c>
      <c r="K41">
        <f t="shared" si="2"/>
        <v>15.60632</v>
      </c>
      <c r="L41" s="27">
        <v>35</v>
      </c>
      <c r="M41">
        <f t="shared" si="3"/>
        <v>146.44</v>
      </c>
      <c r="N41" s="26">
        <v>3</v>
      </c>
      <c r="O41">
        <f t="shared" si="4"/>
        <v>12.552</v>
      </c>
      <c r="P41">
        <f>'Comp''n'!J17*'Cp,enthalpy'!M41</f>
        <v>0.624948579565779</v>
      </c>
      <c r="Q41">
        <f>'Comp''n'!J17*'Cp,enthalpy'!O41</f>
        <v>0.0535670211056382</v>
      </c>
    </row>
    <row r="42" spans="4:17" ht="12.75">
      <c r="D42">
        <f>'Comp''n'!J18</f>
        <v>0</v>
      </c>
      <c r="E42" t="s">
        <v>100</v>
      </c>
      <c r="F42">
        <f>F41*0.4</f>
        <v>11.412</v>
      </c>
      <c r="G42">
        <f t="shared" si="0"/>
        <v>47.747808000000006</v>
      </c>
      <c r="H42">
        <v>1.28</v>
      </c>
      <c r="I42">
        <f t="shared" si="1"/>
        <v>5.35552</v>
      </c>
      <c r="J42">
        <v>1.5</v>
      </c>
      <c r="K42">
        <f t="shared" si="2"/>
        <v>6.276</v>
      </c>
      <c r="L42" s="27">
        <v>18</v>
      </c>
      <c r="M42">
        <f t="shared" si="3"/>
        <v>75.312</v>
      </c>
      <c r="N42" s="26">
        <v>2.3</v>
      </c>
      <c r="O42">
        <f t="shared" si="4"/>
        <v>9.623199999999999</v>
      </c>
      <c r="P42">
        <f>'Comp''n'!J18*'Cp,enthalpy'!M42</f>
        <v>0</v>
      </c>
      <c r="Q42">
        <f>'Comp''n'!J18*'Cp,enthalpy'!O42</f>
        <v>0</v>
      </c>
    </row>
    <row r="43" spans="4:17" ht="12.75">
      <c r="D43">
        <f>'Comp''n'!J19</f>
        <v>0</v>
      </c>
      <c r="E43" t="s">
        <v>101</v>
      </c>
      <c r="F43">
        <v>11.18</v>
      </c>
      <c r="G43">
        <f t="shared" si="0"/>
        <v>46.777120000000004</v>
      </c>
      <c r="H43">
        <v>2.02</v>
      </c>
      <c r="I43">
        <f t="shared" si="1"/>
        <v>8.45168</v>
      </c>
      <c r="J43">
        <v>0</v>
      </c>
      <c r="K43">
        <f t="shared" si="2"/>
        <v>0</v>
      </c>
      <c r="L43" s="27">
        <v>18</v>
      </c>
      <c r="M43">
        <f t="shared" si="3"/>
        <v>75.312</v>
      </c>
      <c r="N43" s="26">
        <v>2.3</v>
      </c>
      <c r="O43">
        <f t="shared" si="4"/>
        <v>9.623199999999999</v>
      </c>
      <c r="P43">
        <f>'Comp''n'!J19*'Cp,enthalpy'!M43</f>
        <v>0</v>
      </c>
      <c r="Q43">
        <f>'Comp''n'!J19*'Cp,enthalpy'!O43</f>
        <v>0</v>
      </c>
    </row>
    <row r="44" spans="4:17" ht="12.75">
      <c r="D44">
        <f>'Comp''n'!J20</f>
        <v>0.00406184397293334</v>
      </c>
      <c r="E44" t="s">
        <v>108</v>
      </c>
      <c r="F44">
        <v>36</v>
      </c>
      <c r="G44">
        <f t="shared" si="0"/>
        <v>150.624</v>
      </c>
      <c r="H44">
        <v>0</v>
      </c>
      <c r="I44">
        <f t="shared" si="1"/>
        <v>0</v>
      </c>
      <c r="J44">
        <v>0</v>
      </c>
      <c r="K44">
        <f t="shared" si="2"/>
        <v>0</v>
      </c>
      <c r="L44">
        <v>35</v>
      </c>
      <c r="M44">
        <f t="shared" si="3"/>
        <v>146.44</v>
      </c>
      <c r="N44">
        <v>2.3</v>
      </c>
      <c r="O44">
        <f t="shared" si="4"/>
        <v>9.623199999999999</v>
      </c>
      <c r="P44">
        <f>'Comp''n'!J20*'Cp,enthalpy'!M44</f>
        <v>0.5948164313963582</v>
      </c>
      <c r="Q44">
        <f>'Comp''n'!J20*'Cp,enthalpy'!O44</f>
        <v>0.03908793692033211</v>
      </c>
    </row>
    <row r="45" spans="4:17" ht="12.75">
      <c r="D45">
        <f>'Comp''n'!J21</f>
        <v>0</v>
      </c>
      <c r="E45" t="s">
        <v>190</v>
      </c>
      <c r="F45">
        <v>12.74</v>
      </c>
      <c r="G45">
        <f t="shared" si="0"/>
        <v>53.30416</v>
      </c>
      <c r="H45">
        <v>1.1</v>
      </c>
      <c r="I45">
        <f t="shared" si="1"/>
        <v>4.6024</v>
      </c>
      <c r="J45">
        <v>6.96</v>
      </c>
      <c r="K45">
        <f t="shared" si="2"/>
        <v>29.12064</v>
      </c>
      <c r="L45" s="27">
        <v>20</v>
      </c>
      <c r="M45">
        <f t="shared" si="3"/>
        <v>83.68</v>
      </c>
      <c r="N45" s="26">
        <v>7.17</v>
      </c>
      <c r="O45">
        <f t="shared" si="4"/>
        <v>29.999280000000002</v>
      </c>
      <c r="P45">
        <f>'Comp''n'!J21*'Cp,enthalpy'!M45</f>
        <v>0</v>
      </c>
      <c r="Q45">
        <f>'Comp''n'!J21*'Cp,enthalpy'!O45</f>
        <v>0</v>
      </c>
    </row>
    <row r="46" spans="4:17" ht="12.75">
      <c r="D46">
        <f>'Comp''n'!J22</f>
        <v>0</v>
      </c>
      <c r="E46" t="s">
        <v>267</v>
      </c>
      <c r="F46">
        <v>12.34</v>
      </c>
      <c r="G46">
        <f t="shared" si="0"/>
        <v>51.63056</v>
      </c>
      <c r="H46">
        <v>1.12</v>
      </c>
      <c r="I46">
        <f t="shared" si="1"/>
        <v>4.6860800000000005</v>
      </c>
      <c r="J46">
        <v>-1.806</v>
      </c>
      <c r="K46">
        <f t="shared" si="2"/>
        <v>-7.556304000000001</v>
      </c>
      <c r="L46" s="27">
        <v>20</v>
      </c>
      <c r="M46">
        <f t="shared" si="3"/>
        <v>83.68</v>
      </c>
      <c r="N46" s="26">
        <v>6.8</v>
      </c>
      <c r="O46">
        <f t="shared" si="4"/>
        <v>28.4512</v>
      </c>
      <c r="P46">
        <f>'Comp''n'!J22*'Cp,enthalpy'!M46</f>
        <v>0</v>
      </c>
      <c r="Q46">
        <f>'Comp''n'!J22*'Cp,enthalpy'!O46</f>
        <v>0</v>
      </c>
    </row>
    <row r="47" spans="5:17" ht="12.75">
      <c r="E47" t="s">
        <v>13</v>
      </c>
      <c r="F47">
        <v>0</v>
      </c>
      <c r="G47">
        <f t="shared" si="0"/>
        <v>0</v>
      </c>
      <c r="M47">
        <f t="shared" si="3"/>
        <v>0</v>
      </c>
      <c r="O47">
        <f t="shared" si="4"/>
        <v>0</v>
      </c>
      <c r="P47">
        <f>'Comp''n'!J23*'Cp,enthalpy'!M47</f>
        <v>0</v>
      </c>
      <c r="Q47">
        <f>'Comp''n'!J23*'Cp,enthalpy'!O47</f>
        <v>0</v>
      </c>
    </row>
    <row r="48" spans="4:18" ht="12.75">
      <c r="D48" t="s">
        <v>102</v>
      </c>
      <c r="P48" s="4">
        <f>SUM(P28:P47)</f>
        <v>89.60512890644078</v>
      </c>
      <c r="Q48" s="4">
        <f>SUM(Q28:Q47)</f>
        <v>17.909056935626452</v>
      </c>
      <c r="R48" t="s">
        <v>116</v>
      </c>
    </row>
    <row r="49" spans="16:18" ht="12.75">
      <c r="P49" s="7">
        <f>P48*1000/B12</f>
        <v>1446.8417563043722</v>
      </c>
      <c r="Q49" s="7">
        <f>Q48*1000/B12</f>
        <v>289.17509194760237</v>
      </c>
      <c r="R49" t="s">
        <v>119</v>
      </c>
    </row>
    <row r="56" ht="12.75">
      <c r="Q56">
        <v>0</v>
      </c>
    </row>
    <row r="57" ht="12.75">
      <c r="Q57">
        <v>3000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5"/>
  <sheetViews>
    <sheetView tabSelected="1" workbookViewId="0" topLeftCell="A1">
      <selection activeCell="Q32" sqref="Q32"/>
    </sheetView>
  </sheetViews>
  <sheetFormatPr defaultColWidth="9.140625" defaultRowHeight="12.75"/>
  <sheetData>
    <row r="1" ht="12.75">
      <c r="C1" s="4"/>
    </row>
    <row r="2" spans="1:5" ht="12.75">
      <c r="A2" s="7"/>
      <c r="B2" s="4"/>
      <c r="C2" s="4"/>
      <c r="D2" s="4"/>
      <c r="E2" s="4"/>
    </row>
    <row r="3" spans="2:26" ht="18">
      <c r="B3" s="4"/>
      <c r="C3" s="4"/>
      <c r="D3" s="17" t="s">
        <v>120</v>
      </c>
      <c r="I3" s="29" t="s">
        <v>279</v>
      </c>
      <c r="J3" s="7"/>
      <c r="L3" s="29" t="s">
        <v>288</v>
      </c>
      <c r="M3" s="30"/>
      <c r="N3" s="30"/>
      <c r="R3" s="17" t="s">
        <v>121</v>
      </c>
      <c r="S3" s="24"/>
      <c r="T3" s="24"/>
      <c r="U3" s="24"/>
      <c r="X3" s="25" t="s">
        <v>295</v>
      </c>
      <c r="Z3" t="s">
        <v>296</v>
      </c>
    </row>
    <row r="4" spans="1:26" ht="12.75">
      <c r="A4" s="7"/>
      <c r="C4" s="4" t="s">
        <v>74</v>
      </c>
      <c r="D4" s="7" t="s">
        <v>74</v>
      </c>
      <c r="E4" s="4" t="s">
        <v>62</v>
      </c>
      <c r="F4" s="7" t="s">
        <v>62</v>
      </c>
      <c r="I4" s="7"/>
      <c r="J4" s="7" t="s">
        <v>280</v>
      </c>
      <c r="L4" t="s">
        <v>73</v>
      </c>
      <c r="M4" t="s">
        <v>282</v>
      </c>
      <c r="S4" s="4" t="s">
        <v>74</v>
      </c>
      <c r="T4" s="7" t="s">
        <v>74</v>
      </c>
      <c r="U4" s="4" t="s">
        <v>62</v>
      </c>
      <c r="V4" s="7" t="s">
        <v>62</v>
      </c>
      <c r="Z4" t="s">
        <v>297</v>
      </c>
    </row>
    <row r="5" spans="1:24" ht="12.75">
      <c r="A5" s="7"/>
      <c r="B5" t="s">
        <v>55</v>
      </c>
      <c r="C5" s="4" t="s">
        <v>122</v>
      </c>
      <c r="D5" s="7" t="s">
        <v>110</v>
      </c>
      <c r="E5" t="s">
        <v>63</v>
      </c>
      <c r="F5" t="s">
        <v>113</v>
      </c>
      <c r="I5" s="7" t="str">
        <f>B5</f>
        <v>T,K</v>
      </c>
      <c r="J5" s="7" t="s">
        <v>281</v>
      </c>
      <c r="S5" s="4" t="s">
        <v>122</v>
      </c>
      <c r="T5" s="7" t="s">
        <v>110</v>
      </c>
      <c r="U5" t="s">
        <v>63</v>
      </c>
      <c r="V5" t="s">
        <v>113</v>
      </c>
      <c r="X5" t="s">
        <v>281</v>
      </c>
    </row>
    <row r="6" spans="1:26" ht="12.75">
      <c r="A6" s="7"/>
      <c r="B6" s="7">
        <f>'Comp''n'!B32</f>
        <v>298</v>
      </c>
      <c r="C6">
        <f>'Cp,enthalpy'!F8</f>
        <v>846.4762304370704</v>
      </c>
      <c r="D6">
        <f>'Cp,enthalpy'!G8</f>
        <v>52.423571143184155</v>
      </c>
      <c r="E6">
        <f>'Cp,enthalpy'!H8</f>
        <v>0</v>
      </c>
      <c r="F6">
        <f>'Cp,enthalpy'!I8</f>
        <v>0</v>
      </c>
      <c r="I6" s="7">
        <f aca="true" t="shared" si="0" ref="I6:I19">B6</f>
        <v>298</v>
      </c>
      <c r="J6">
        <f>Density!J25</f>
        <v>2840.703415393553</v>
      </c>
      <c r="L6">
        <f>'Therm cond'!G27</f>
        <v>0.9618351675408183</v>
      </c>
      <c r="M6">
        <f>'Therm cond'!J27</f>
        <v>0.6745184555584023</v>
      </c>
      <c r="O6" s="7">
        <f>I6</f>
        <v>298</v>
      </c>
      <c r="R6" s="7">
        <f>'Comp''n'!E32</f>
        <v>298</v>
      </c>
      <c r="S6">
        <f>'Cp,enthalpy'!N7</f>
        <v>846.4762304370704</v>
      </c>
      <c r="T6">
        <f>'Cp,enthalpy'!O7</f>
        <v>52.423571143184155</v>
      </c>
      <c r="U6">
        <f>'Cp,enthalpy'!Q7</f>
        <v>0</v>
      </c>
      <c r="V6">
        <f>'Cp,enthalpy'!R7</f>
        <v>0</v>
      </c>
      <c r="X6">
        <f>Density!G25</f>
        <v>2840.703415393553</v>
      </c>
      <c r="Z6">
        <f>'Therm cond'!N27</f>
        <v>1.9236703350816367</v>
      </c>
    </row>
    <row r="7" spans="1:26" ht="12.75">
      <c r="A7" s="7"/>
      <c r="B7" s="7">
        <f>'Comp''n'!B33</f>
        <v>400</v>
      </c>
      <c r="C7">
        <f>'Cp,enthalpy'!F9</f>
        <v>943.5414621796097</v>
      </c>
      <c r="D7">
        <f>'Cp,enthalpy'!G9</f>
        <v>58.434969808398016</v>
      </c>
      <c r="E7">
        <f>'Cp,enthalpy'!H9</f>
        <v>91.84387936956871</v>
      </c>
      <c r="F7">
        <f>'Cp,enthalpy'!I9</f>
        <v>5.688032305066072</v>
      </c>
      <c r="I7" s="7">
        <f t="shared" si="0"/>
        <v>400</v>
      </c>
      <c r="J7">
        <f>Density!J26</f>
        <v>2817.3415416599937</v>
      </c>
      <c r="L7">
        <f>'Therm cond'!G28</f>
        <v>1.069181352325814</v>
      </c>
      <c r="M7">
        <f>'Therm cond'!J28</f>
        <v>0.6738070073555079</v>
      </c>
      <c r="O7" s="7">
        <f aca="true" t="shared" si="1" ref="O7:O29">I7</f>
        <v>400</v>
      </c>
      <c r="R7" s="7">
        <f>'Comp''n'!E33</f>
        <v>400</v>
      </c>
      <c r="S7">
        <f>'Cp,enthalpy'!N8</f>
        <v>943.5414621796097</v>
      </c>
      <c r="T7">
        <f>'Cp,enthalpy'!O8</f>
        <v>58.43496980839801</v>
      </c>
      <c r="U7">
        <f>'Cp,enthalpy'!Q8</f>
        <v>1482.9905537173115</v>
      </c>
      <c r="V7">
        <f>'Cp,enthalpy'!R8</f>
        <v>91.84387936956871</v>
      </c>
      <c r="X7">
        <f>Density!G26</f>
        <v>2832.8944598151847</v>
      </c>
      <c r="Z7">
        <f>'Therm cond'!N28</f>
        <v>1.9236703350816367</v>
      </c>
    </row>
    <row r="8" spans="1:26" ht="12.75">
      <c r="A8" s="7"/>
      <c r="B8" s="7">
        <f>'Comp''n'!B34</f>
        <v>500</v>
      </c>
      <c r="C8">
        <f>'Cp,enthalpy'!F10</f>
        <v>999.2777593629661</v>
      </c>
      <c r="D8">
        <f>'Cp,enthalpy'!G10</f>
        <v>61.8868041725368</v>
      </c>
      <c r="E8">
        <f>'Cp,enthalpy'!H10</f>
        <v>189.169937331016</v>
      </c>
      <c r="F8">
        <f>'Cp,enthalpy'!I10</f>
        <v>11.71558433803117</v>
      </c>
      <c r="I8" s="7">
        <f t="shared" si="0"/>
        <v>500</v>
      </c>
      <c r="J8">
        <f>Density!J27</f>
        <v>2794.807787503721</v>
      </c>
      <c r="L8">
        <f>'Therm cond'!G29</f>
        <v>1.1292903439244735</v>
      </c>
      <c r="M8">
        <f>'Therm cond'!J29</f>
        <v>0.6731095091173763</v>
      </c>
      <c r="O8" s="7">
        <f t="shared" si="1"/>
        <v>500</v>
      </c>
      <c r="R8" s="7">
        <f>'Comp''n'!E34</f>
        <v>500</v>
      </c>
      <c r="S8">
        <f>'Cp,enthalpy'!N9</f>
        <v>999.2777593629661</v>
      </c>
      <c r="T8">
        <f>'Cp,enthalpy'!O9</f>
        <v>61.8868041725368</v>
      </c>
      <c r="U8">
        <f>'Cp,enthalpy'!Q9</f>
        <v>189.16993733101603</v>
      </c>
      <c r="V8">
        <f>'Cp,enthalpy'!R9</f>
        <v>11.71558433803117</v>
      </c>
      <c r="X8">
        <f>Density!G27</f>
        <v>2825.2663820027115</v>
      </c>
      <c r="Z8">
        <f>'Therm cond'!N29</f>
        <v>1.9236703350816367</v>
      </c>
    </row>
    <row r="9" spans="1:26" ht="12.75">
      <c r="A9" s="7"/>
      <c r="B9" s="7">
        <f>'Comp''n'!B35</f>
        <v>600</v>
      </c>
      <c r="C9">
        <f>'Cp,enthalpy'!F11</f>
        <v>1039.7949793912458</v>
      </c>
      <c r="D9">
        <f>'Cp,enthalpy'!G11</f>
        <v>64.39609774783285</v>
      </c>
      <c r="E9">
        <f>'Cp,enthalpy'!H11</f>
        <v>291.205839550646</v>
      </c>
      <c r="F9">
        <f>'Cp,enthalpy'!I11</f>
        <v>18.03482424912448</v>
      </c>
      <c r="I9" s="7">
        <f t="shared" si="0"/>
        <v>600</v>
      </c>
      <c r="J9">
        <f>Density!J28</f>
        <v>2772.631633610476</v>
      </c>
      <c r="L9">
        <f>'Therm cond'!G30</f>
        <v>1.1719178453504209</v>
      </c>
      <c r="M9">
        <f>'Therm cond'!J30</f>
        <v>0.6724120108792446</v>
      </c>
      <c r="O9" s="7">
        <f t="shared" si="1"/>
        <v>600</v>
      </c>
      <c r="R9" s="7">
        <f>'Comp''n'!E35</f>
        <v>600</v>
      </c>
      <c r="S9">
        <f>'Cp,enthalpy'!N10</f>
        <v>1039.7949793912458</v>
      </c>
      <c r="T9">
        <f>'Cp,enthalpy'!O10</f>
        <v>64.39609774783285</v>
      </c>
      <c r="U9">
        <f>'Cp,enthalpy'!Q10</f>
        <v>291.205839550646</v>
      </c>
      <c r="V9">
        <f>'Cp,enthalpy'!R10</f>
        <v>18.03482424912448</v>
      </c>
      <c r="X9">
        <f>Density!G28</f>
        <v>2817.665666255975</v>
      </c>
      <c r="Z9">
        <f>'Therm cond'!N30</f>
        <v>1.9236703350816367</v>
      </c>
    </row>
    <row r="10" spans="1:26" ht="12.75">
      <c r="A10" s="7"/>
      <c r="B10" s="7">
        <f>'Comp''n'!B36</f>
        <v>700</v>
      </c>
      <c r="C10">
        <f>'Cp,enthalpy'!F12</f>
        <v>1073.1265788763676</v>
      </c>
      <c r="D10">
        <f>'Cp,enthalpy'!G12</f>
        <v>66.4603748227156</v>
      </c>
      <c r="E10">
        <f>'Cp,enthalpy'!H12</f>
        <v>396.8938895466385</v>
      </c>
      <c r="F10">
        <f>'Cp,enthalpy'!I12</f>
        <v>24.58024727309824</v>
      </c>
      <c r="I10" s="7">
        <f t="shared" si="0"/>
        <v>700</v>
      </c>
      <c r="J10">
        <f>Density!J29</f>
        <v>2750.804634566338</v>
      </c>
      <c r="L10">
        <f>'Therm cond'!G31</f>
        <v>1.2062338472725762</v>
      </c>
      <c r="M10">
        <f>'Therm cond'!J31</f>
        <v>0.6717145126411129</v>
      </c>
      <c r="O10" s="7">
        <f t="shared" si="1"/>
        <v>700</v>
      </c>
      <c r="R10" s="7">
        <f>'Comp''n'!E36</f>
        <v>700</v>
      </c>
      <c r="S10">
        <f>'Cp,enthalpy'!N11</f>
        <v>1073.1265788763676</v>
      </c>
      <c r="T10">
        <f>'Cp,enthalpy'!O11</f>
        <v>66.4603748227156</v>
      </c>
      <c r="U10">
        <f>'Cp,enthalpy'!Q11</f>
        <v>396.89388954663855</v>
      </c>
      <c r="V10">
        <f>'Cp,enthalpy'!R11</f>
        <v>24.58024727309824</v>
      </c>
      <c r="X10">
        <f>Density!G29</f>
        <v>2810.0921899995724</v>
      </c>
      <c r="Z10">
        <f>'Therm cond'!N31</f>
        <v>1.9236703350816367</v>
      </c>
    </row>
    <row r="11" spans="1:26" ht="12.75">
      <c r="A11" s="7"/>
      <c r="B11" s="7">
        <f>'Comp''n'!B37</f>
        <v>900</v>
      </c>
      <c r="C11">
        <f>'Cp,enthalpy'!F13</f>
        <v>1129.9030206091402</v>
      </c>
      <c r="D11">
        <f>'Cp,enthalpy'!G13</f>
        <v>69.97662693400997</v>
      </c>
      <c r="E11">
        <f>'Cp,enthalpy'!H13</f>
        <v>617.3460835666982</v>
      </c>
      <c r="F11">
        <f>'Cp,enthalpy'!I13</f>
        <v>38.23318974369111</v>
      </c>
      <c r="I11" s="7">
        <f t="shared" si="0"/>
        <v>900</v>
      </c>
      <c r="J11">
        <f>Density!J30</f>
        <v>2729.3186088196435</v>
      </c>
      <c r="L11">
        <f>'Therm cond'!G32</f>
        <v>1.2666420000800003</v>
      </c>
      <c r="M11">
        <f>'Therm cond'!J32</f>
        <v>0.6703195161648495</v>
      </c>
      <c r="O11" s="7">
        <f t="shared" si="1"/>
        <v>900</v>
      </c>
      <c r="R11" s="7">
        <f>'Comp''n'!E37</f>
        <v>800</v>
      </c>
      <c r="S11">
        <f>'Cp,enthalpy'!N12</f>
        <v>1102.6282258231531</v>
      </c>
      <c r="T11">
        <f>'Cp,enthalpy'!O12</f>
        <v>68.28745706311986</v>
      </c>
      <c r="U11">
        <f>'Cp,enthalpy'!Q12</f>
        <v>505.70523907808376</v>
      </c>
      <c r="V11">
        <f>'Cp,enthalpy'!R12</f>
        <v>31.31910102732858</v>
      </c>
      <c r="X11">
        <f>Density!G30</f>
        <v>2802.5458313164413</v>
      </c>
      <c r="Z11">
        <f>'Therm cond'!N32</f>
        <v>1.9236703350816367</v>
      </c>
    </row>
    <row r="12" spans="1:24" ht="12.75">
      <c r="A12" s="4" t="s">
        <v>259</v>
      </c>
      <c r="B12" s="4">
        <f>'Comp''n'!B38</f>
        <v>753.7369293120884</v>
      </c>
      <c r="C12">
        <f>'Cp,enthalpy'!F14</f>
        <v>1089.3291776829785</v>
      </c>
      <c r="D12">
        <f>'Cp,enthalpy'!G14</f>
        <v>67.46382661580878</v>
      </c>
      <c r="E12">
        <f>'Cp,enthalpy'!H14</f>
        <v>454.9998826832897</v>
      </c>
      <c r="F12">
        <f>'Cp,enthalpy'!I14</f>
        <v>28.17884054189182</v>
      </c>
      <c r="I12" s="4">
        <f t="shared" si="0"/>
        <v>753.7369293120884</v>
      </c>
      <c r="J12">
        <f>Density!J31</f>
        <v>2708.1656284559563</v>
      </c>
      <c r="L12">
        <f>'Therm cond'!G33</f>
        <v>1.2178815540066579</v>
      </c>
      <c r="M12">
        <f>'Therm cond'!J33</f>
        <v>0.671339698505935</v>
      </c>
      <c r="O12" s="4">
        <f t="shared" si="1"/>
        <v>753.7369293120884</v>
      </c>
      <c r="R12" s="7">
        <f>'Comp''n'!E38</f>
        <v>900</v>
      </c>
      <c r="S12">
        <f>'Cp,enthalpy'!N13</f>
        <v>1129.9030206091402</v>
      </c>
      <c r="T12">
        <f>'Cp,enthalpy'!O13</f>
        <v>69.97662693400997</v>
      </c>
      <c r="U12">
        <f>'Cp,enthalpy'!Q13</f>
        <v>617.3460835666983</v>
      </c>
      <c r="V12">
        <f>'Cp,enthalpy'!R13</f>
        <v>38.23318974369111</v>
      </c>
      <c r="X12">
        <f>Density!G31</f>
        <v>2795.0264689437413</v>
      </c>
    </row>
    <row r="13" spans="1:24" ht="12.75">
      <c r="A13" s="7"/>
      <c r="B13" s="4">
        <f>'Comp''n'!B39</f>
        <v>753.7369293120884</v>
      </c>
      <c r="C13">
        <f>'Cp,enthalpy'!F15</f>
        <v>1389.3291776829785</v>
      </c>
      <c r="D13">
        <f>'Cp,enthalpy'!G15</f>
        <v>86.04328670866303</v>
      </c>
      <c r="E13">
        <f>'Cp,enthalpy'!H15</f>
        <v>454.9998826832897</v>
      </c>
      <c r="F13">
        <f>'Cp,enthalpy'!I15</f>
        <v>28.17884054189182</v>
      </c>
      <c r="I13" s="4">
        <f t="shared" si="0"/>
        <v>753.7369293120884</v>
      </c>
      <c r="J13">
        <f>Density!J32</f>
        <v>2687.338009444866</v>
      </c>
      <c r="M13">
        <f>'Therm cond'!J34</f>
        <v>0.671339698505935</v>
      </c>
      <c r="O13" s="4">
        <f t="shared" si="1"/>
        <v>753.7369293120884</v>
      </c>
      <c r="R13" s="7">
        <f>'Comp''n'!E39</f>
        <v>1000</v>
      </c>
      <c r="S13">
        <f>'Cp,enthalpy'!N14</f>
        <v>1155.7953016295385</v>
      </c>
      <c r="T13">
        <f>'Cp,enthalpy'!O14</f>
        <v>71.58017560711484</v>
      </c>
      <c r="U13">
        <f>'Cp,enthalpy'!Q14</f>
        <v>731.6401402655124</v>
      </c>
      <c r="V13">
        <f>'Cp,enthalpy'!R14</f>
        <v>45.311595961311234</v>
      </c>
      <c r="X13">
        <f>Density!G32</f>
        <v>2787.533982268752</v>
      </c>
    </row>
    <row r="14" spans="1:24" ht="12.75">
      <c r="A14" s="7"/>
      <c r="B14" s="7">
        <f>'Comp''n'!B40</f>
        <v>1200</v>
      </c>
      <c r="C14">
        <f>'Cp,enthalpy'!F16</f>
        <v>1659.3363865562471</v>
      </c>
      <c r="D14">
        <f>'Cp,enthalpy'!G16</f>
        <v>102.76524724880922</v>
      </c>
      <c r="E14">
        <f>'Cp,enthalpy'!H16</f>
        <v>1135.2533107822355</v>
      </c>
      <c r="F14">
        <f>'Cp,enthalpy'!I16</f>
        <v>70.30797860986402</v>
      </c>
      <c r="I14" s="7">
        <f t="shared" si="0"/>
        <v>1200</v>
      </c>
      <c r="J14">
        <f>Density!J33</f>
        <v>2666.828302333392</v>
      </c>
      <c r="M14">
        <f>'Therm cond'!J35</f>
        <v>0.35451053333119165</v>
      </c>
      <c r="O14" s="7">
        <f t="shared" si="1"/>
        <v>1200</v>
      </c>
      <c r="R14" s="7">
        <f>'Comp''n'!E40</f>
        <v>1100</v>
      </c>
      <c r="S14">
        <f>'Cp,enthalpy'!N15</f>
        <v>1180.7840998475904</v>
      </c>
      <c r="T14">
        <f>'Cp,enthalpy'!O15</f>
        <v>73.12777020465045</v>
      </c>
      <c r="U14">
        <f>'Cp,enthalpy'!Q15</f>
        <v>848.4752292446354</v>
      </c>
      <c r="V14">
        <f>'Cp,enthalpy'!R15</f>
        <v>52.54737220508687</v>
      </c>
      <c r="X14">
        <f>Density!G33</f>
        <v>2780.068251324822</v>
      </c>
    </row>
    <row r="15" spans="1:24" ht="12.75">
      <c r="A15" s="7"/>
      <c r="B15" s="7">
        <f>'Comp''n'!B41</f>
        <v>1300</v>
      </c>
      <c r="C15">
        <f>'Cp,enthalpy'!F17</f>
        <v>1719.840431503783</v>
      </c>
      <c r="D15">
        <f>'Cp,enthalpy'!G17</f>
        <v>106.5123555440059</v>
      </c>
      <c r="E15">
        <f>'Cp,enthalpy'!H17</f>
        <v>1304.2121516852371</v>
      </c>
      <c r="F15">
        <f>'Cp,enthalpy'!I17</f>
        <v>80.77185874950479</v>
      </c>
      <c r="I15" s="7">
        <f t="shared" si="0"/>
        <v>1300</v>
      </c>
      <c r="J15">
        <f>Density!J34</f>
        <v>2646.629283362338</v>
      </c>
      <c r="M15">
        <f>'Therm cond'!J36</f>
        <v>0.28351448055757694</v>
      </c>
      <c r="O15" s="7">
        <f t="shared" si="1"/>
        <v>1300</v>
      </c>
      <c r="R15" s="7">
        <f>'Comp''n'!E41</f>
        <v>1200</v>
      </c>
      <c r="S15">
        <f>'Cp,enthalpy'!N16</f>
        <v>1205.1576081471549</v>
      </c>
      <c r="T15">
        <f>'Cp,enthalpy'!O16</f>
        <v>74.63725895389913</v>
      </c>
      <c r="U15">
        <f>'Cp,enthalpy'!Q16</f>
        <v>967.7765638841413</v>
      </c>
      <c r="V15">
        <f>'Cp,enthalpy'!R16</f>
        <v>59.93588682495004</v>
      </c>
      <c r="X15">
        <f>Density!G34</f>
        <v>2772.6291567873254</v>
      </c>
    </row>
    <row r="16" spans="1:24" ht="12.75">
      <c r="A16" s="7"/>
      <c r="B16" s="7">
        <f>'Comp''n'!B42</f>
        <v>1400</v>
      </c>
      <c r="C16">
        <f>'Cp,enthalpy'!F18</f>
        <v>1780.3444764513192</v>
      </c>
      <c r="D16">
        <f>'Cp,enthalpy'!G18</f>
        <v>110.2594638392026</v>
      </c>
      <c r="E16">
        <f>'Cp,enthalpy'!H18</f>
        <v>1479.2213970829923</v>
      </c>
      <c r="F16">
        <f>'Cp,enthalpy'!I18</f>
        <v>91.61044971866521</v>
      </c>
      <c r="I16" s="7">
        <f t="shared" si="0"/>
        <v>1400</v>
      </c>
      <c r="J16">
        <f>Density!J35</f>
        <v>2626.7339459833224</v>
      </c>
      <c r="M16">
        <f>'Therm cond'!J37</f>
        <v>0.21251842778396224</v>
      </c>
      <c r="O16" s="7">
        <f t="shared" si="1"/>
        <v>1400</v>
      </c>
      <c r="R16" s="7">
        <f>'Comp''n'!E42</f>
        <v>1300</v>
      </c>
      <c r="S16">
        <f>'Cp,enthalpy'!N17</f>
        <v>1229.0976437034647</v>
      </c>
      <c r="T16">
        <f>'Cp,enthalpy'!O17</f>
        <v>76.1199020713657</v>
      </c>
      <c r="U16">
        <f>'Cp,enthalpy'!Q17</f>
        <v>1089.4923688317729</v>
      </c>
      <c r="V16">
        <f>'Cp,enthalpy'!R17</f>
        <v>67.47393329393054</v>
      </c>
      <c r="X16">
        <f>Density!G35</f>
        <v>2765.2165799696645</v>
      </c>
    </row>
    <row r="17" spans="1:24" ht="12.75">
      <c r="A17" s="7"/>
      <c r="B17" s="7">
        <f>'Comp''n'!B43</f>
        <v>1600</v>
      </c>
      <c r="C17">
        <f>'Cp,enthalpy'!F19</f>
        <v>1901.3525663463913</v>
      </c>
      <c r="D17">
        <f>'Cp,enthalpy'!G19</f>
        <v>117.75368042959596</v>
      </c>
      <c r="E17">
        <f>'Cp,enthalpy'!H19</f>
        <v>1847.3911013627635</v>
      </c>
      <c r="F17">
        <f>'Cp,enthalpy'!I19</f>
        <v>114.41176414554508</v>
      </c>
      <c r="I17" s="7">
        <f t="shared" si="0"/>
        <v>1600</v>
      </c>
      <c r="J17">
        <f>Density!J36</f>
        <v>2607.13549275557</v>
      </c>
      <c r="M17">
        <f>'Therm cond'!J38</f>
        <v>0.07052632223673272</v>
      </c>
      <c r="O17" s="7">
        <f t="shared" si="1"/>
        <v>1600</v>
      </c>
      <c r="R17" s="7">
        <f>'Comp''n'!E43</f>
        <v>1400</v>
      </c>
      <c r="S17">
        <f>'Cp,enthalpy'!N18</f>
        <v>1252.7235095289816</v>
      </c>
      <c r="T17">
        <f>'Cp,enthalpy'!O18</f>
        <v>20.22755510550253</v>
      </c>
      <c r="U17">
        <f>'Cp,enthalpy'!Q18</f>
        <v>1213.5856616930607</v>
      </c>
      <c r="V17">
        <f>'Cp,enthalpy'!R18</f>
        <v>75.15922123562112</v>
      </c>
      <c r="X17">
        <f>Density!G36</f>
        <v>2757.8304028192842</v>
      </c>
    </row>
    <row r="18" spans="1:24" ht="12.75">
      <c r="A18" s="7"/>
      <c r="B18" s="7">
        <f>'Comp''n'!B44</f>
        <v>1700</v>
      </c>
      <c r="C18">
        <f>'Cp,enthalpy'!F20</f>
        <v>1961.8566112939275</v>
      </c>
      <c r="D18">
        <f>'Cp,enthalpy'!G20</f>
        <v>121.50078872479266</v>
      </c>
      <c r="E18">
        <f>'Cp,enthalpy'!H20</f>
        <v>2040.5515602447795</v>
      </c>
      <c r="F18">
        <f>'Cp,enthalpy'!I20</f>
        <v>126.37448760326451</v>
      </c>
      <c r="I18" s="7">
        <f t="shared" si="0"/>
        <v>1700</v>
      </c>
      <c r="J18">
        <f>Density!J37</f>
        <v>2597.4455287634137</v>
      </c>
      <c r="M18">
        <f>'Therm cond'!J39</f>
        <v>-0.00046973053688192934</v>
      </c>
      <c r="O18" s="7">
        <f t="shared" si="1"/>
        <v>1700</v>
      </c>
      <c r="R18" s="7">
        <f>'Comp''n'!E44</f>
        <v>1450</v>
      </c>
      <c r="S18">
        <f>'Cp,enthalpy'!N19</f>
        <v>1264.4449879583897</v>
      </c>
      <c r="T18">
        <f>'Cp,enthalpy'!O19</f>
        <v>20.416820213920555</v>
      </c>
      <c r="U18">
        <f>'Cp,enthalpy'!Q19</f>
        <v>1276.515098713327</v>
      </c>
      <c r="V18">
        <f>'Cp,enthalpy'!R19</f>
        <v>79.0565377815672</v>
      </c>
      <c r="X18">
        <f>Density!G37</f>
        <v>2754.1471774003053</v>
      </c>
    </row>
    <row r="19" spans="1:24" ht="12.75">
      <c r="A19" s="4" t="s">
        <v>41</v>
      </c>
      <c r="B19" s="4">
        <f>'Comp''n'!B45</f>
        <v>1473</v>
      </c>
      <c r="C19">
        <f>'Cp,enthalpy'!F21</f>
        <v>1824.5124292630205</v>
      </c>
      <c r="D19">
        <f>'Cp,enthalpy'!G21</f>
        <v>112.99485289469617</v>
      </c>
      <c r="E19">
        <f>'Cp,enthalpy'!H21</f>
        <v>1610.798674141566</v>
      </c>
      <c r="F19">
        <f>'Cp,enthalpy'!I21</f>
        <v>99.75923227945253</v>
      </c>
      <c r="I19" s="4">
        <f t="shared" si="0"/>
        <v>1473</v>
      </c>
      <c r="J19">
        <f>Density!J38</f>
        <v>2593.0122915684487</v>
      </c>
      <c r="M19">
        <f>'Therm cond'!J40</f>
        <v>0.1606913092592235</v>
      </c>
      <c r="O19" s="4">
        <f t="shared" si="1"/>
        <v>1473</v>
      </c>
      <c r="R19" s="7">
        <f>'Comp''n'!E45</f>
        <v>1473</v>
      </c>
      <c r="S19">
        <f>'Cp,enthalpy'!N2</f>
        <v>1269.819550172402</v>
      </c>
      <c r="T19">
        <f>'Cp,enthalpy'!O2</f>
        <v>20.503602534620164</v>
      </c>
      <c r="U19">
        <f>'Cp,enthalpy'!Q2</f>
        <v>1305.65916064883</v>
      </c>
      <c r="V19">
        <f>'Cp,enthalpy'!R2</f>
        <v>80.86147423381504</v>
      </c>
      <c r="X19">
        <f>Density!G38</f>
        <v>2752.4550960718566</v>
      </c>
    </row>
    <row r="20" spans="1:26" ht="12.75">
      <c r="A20" s="7"/>
      <c r="B20" s="7"/>
      <c r="O20" s="7"/>
      <c r="Z20" s="4" t="s">
        <v>298</v>
      </c>
    </row>
    <row r="21" spans="1:17" ht="18">
      <c r="A21" s="7"/>
      <c r="B21" s="7"/>
      <c r="C21" s="17"/>
      <c r="D21" s="17" t="s">
        <v>278</v>
      </c>
      <c r="E21" s="17"/>
      <c r="I21" s="7"/>
      <c r="J21" s="29" t="s">
        <v>280</v>
      </c>
      <c r="L21" t="s">
        <v>284</v>
      </c>
      <c r="M21" t="s">
        <v>285</v>
      </c>
      <c r="O21" s="7"/>
      <c r="P21" s="29" t="s">
        <v>287</v>
      </c>
      <c r="Q21" s="30"/>
    </row>
    <row r="22" spans="1:18" ht="12.75">
      <c r="A22" s="7"/>
      <c r="B22" s="7" t="s">
        <v>55</v>
      </c>
      <c r="C22" s="4" t="s">
        <v>74</v>
      </c>
      <c r="D22" s="7" t="s">
        <v>74</v>
      </c>
      <c r="E22" s="4" t="s">
        <v>62</v>
      </c>
      <c r="F22" s="7" t="s">
        <v>62</v>
      </c>
      <c r="I22" s="7" t="str">
        <f>B22</f>
        <v>T,K</v>
      </c>
      <c r="J22" s="7" t="s">
        <v>281</v>
      </c>
      <c r="O22" s="7"/>
      <c r="P22" t="s">
        <v>283</v>
      </c>
      <c r="Q22" t="s">
        <v>303</v>
      </c>
      <c r="R22" t="s">
        <v>301</v>
      </c>
    </row>
    <row r="23" spans="1:19" ht="12.75">
      <c r="A23" s="4" t="s">
        <v>41</v>
      </c>
      <c r="B23" s="4">
        <f>'Comp''n'!B47</f>
        <v>1473</v>
      </c>
      <c r="C23">
        <f>'Cp,enthalpy'!F22</f>
        <v>1446.8417563043722</v>
      </c>
      <c r="D23">
        <f>'Cp,enthalpy'!G22</f>
        <v>89.60512890644078</v>
      </c>
      <c r="E23">
        <f>'Cp,enthalpy'!H22</f>
        <v>1610.798674141566</v>
      </c>
      <c r="F23">
        <f>'Cp,enthalpy'!I22</f>
        <v>99.75923227945253</v>
      </c>
      <c r="I23" s="4">
        <f>B23</f>
        <v>1473</v>
      </c>
      <c r="J23">
        <f>Density!G8</f>
        <v>2591.2866373034594</v>
      </c>
      <c r="L23">
        <f>'Therm cond'!D8</f>
        <v>0.18252257364306196</v>
      </c>
      <c r="M23">
        <f>'Therm cond'!I8</f>
        <v>0.1606913092592235</v>
      </c>
      <c r="O23" s="4">
        <f t="shared" si="1"/>
        <v>1473</v>
      </c>
      <c r="P23">
        <f>'Surf tens'!M4</f>
        <v>197.59099728977418</v>
      </c>
      <c r="Q23">
        <f>'Surf tens'!N4</f>
        <v>166.00546588342846</v>
      </c>
      <c r="R23">
        <f>'Surf tens'!P4</f>
        <v>300.80758644636626</v>
      </c>
      <c r="S23">
        <f>'Surf tens'!Q4</f>
        <v>269.2220550400205</v>
      </c>
    </row>
    <row r="24" spans="1:19" ht="12.75">
      <c r="A24" s="7"/>
      <c r="B24" s="7">
        <f>'Comp''n'!B48</f>
        <v>1573</v>
      </c>
      <c r="C24">
        <f>'Cp,enthalpy'!F23</f>
        <v>1446.8417563043722</v>
      </c>
      <c r="D24">
        <f>'Cp,enthalpy'!G22</f>
        <v>89.60512890644078</v>
      </c>
      <c r="E24">
        <f>'Cp,enthalpy'!H23</f>
        <v>1755.4828497720032</v>
      </c>
      <c r="F24">
        <f>'Cp,enthalpy'!I23</f>
        <v>108.71974517009662</v>
      </c>
      <c r="I24" s="7">
        <f aca="true" t="shared" si="2" ref="I24:I29">B24</f>
        <v>1573</v>
      </c>
      <c r="J24">
        <f>Density!G9</f>
        <v>2564.8449369228115</v>
      </c>
      <c r="L24">
        <f>'Therm cond'!D9</f>
        <v>0.1512066919028017</v>
      </c>
      <c r="O24" s="7">
        <f t="shared" si="1"/>
        <v>1573</v>
      </c>
      <c r="P24">
        <f>'Surf tens'!M5</f>
        <v>182.59099728977418</v>
      </c>
      <c r="Q24">
        <f>'Surf tens'!N5</f>
        <v>161.53397635221035</v>
      </c>
      <c r="R24">
        <f>'Surf tens'!P5</f>
        <v>285.80758644636626</v>
      </c>
      <c r="S24">
        <f>'Surf tens'!Q5</f>
        <v>264.7505655088024</v>
      </c>
    </row>
    <row r="25" spans="1:19" ht="12.75">
      <c r="A25" s="7"/>
      <c r="B25" s="7">
        <f>'Comp''n'!B49</f>
        <v>1673</v>
      </c>
      <c r="C25">
        <f>'Cp,enthalpy'!F24</f>
        <v>1446.8417563043722</v>
      </c>
      <c r="D25">
        <f>'Cp,enthalpy'!G23</f>
        <v>89.60512890644078</v>
      </c>
      <c r="E25">
        <f>'Cp,enthalpy'!H24</f>
        <v>1900.1670254024402</v>
      </c>
      <c r="F25">
        <f>'Cp,enthalpy'!I24</f>
        <v>117.68025806074068</v>
      </c>
      <c r="I25" s="7">
        <f t="shared" si="2"/>
        <v>1673</v>
      </c>
      <c r="J25">
        <f>Density!G10</f>
        <v>2538.93741230743</v>
      </c>
      <c r="L25">
        <f>'Therm cond'!D10</f>
        <v>0.12825184873825102</v>
      </c>
      <c r="O25" s="7">
        <f t="shared" si="1"/>
        <v>1673</v>
      </c>
      <c r="P25">
        <f>'Surf tens'!M6</f>
        <v>167.59099728977418</v>
      </c>
      <c r="Q25">
        <f>'Surf tens'!N6</f>
        <v>157.06248682099226</v>
      </c>
      <c r="R25">
        <f>'Surf tens'!P6</f>
        <v>270.80758644636626</v>
      </c>
      <c r="S25">
        <f>'Surf tens'!Q6</f>
        <v>260.27907597758434</v>
      </c>
    </row>
    <row r="26" spans="1:19" ht="12.75">
      <c r="A26" s="7"/>
      <c r="B26" s="7">
        <f>'Comp''n'!B50</f>
        <v>1773</v>
      </c>
      <c r="C26">
        <f>'Cp,enthalpy'!F25</f>
        <v>1446.8417563043722</v>
      </c>
      <c r="D26">
        <f>'Cp,enthalpy'!G24</f>
        <v>89.60512890644078</v>
      </c>
      <c r="E26">
        <f>'Cp,enthalpy'!H25</f>
        <v>2044.8512010328777</v>
      </c>
      <c r="F26">
        <f>'Cp,enthalpy'!I25</f>
        <v>126.64077095138478</v>
      </c>
      <c r="I26" s="7">
        <f t="shared" si="2"/>
        <v>1773</v>
      </c>
      <c r="J26">
        <f>Density!G11</f>
        <v>2513.5480381843554</v>
      </c>
      <c r="L26">
        <f>'Therm cond'!D11</f>
        <v>0.11092662299827133</v>
      </c>
      <c r="O26" s="7">
        <f t="shared" si="1"/>
        <v>1773</v>
      </c>
      <c r="P26">
        <f>'Surf tens'!M7</f>
        <v>152.59099728977418</v>
      </c>
      <c r="Q26">
        <f>'Surf tens'!N7</f>
        <v>152.59099728977418</v>
      </c>
      <c r="R26">
        <f>'Surf tens'!P7</f>
        <v>255.80758644636626</v>
      </c>
      <c r="S26">
        <f>'Surf tens'!Q7</f>
        <v>255.80758644636626</v>
      </c>
    </row>
    <row r="27" spans="1:19" ht="12.75">
      <c r="A27" s="7"/>
      <c r="B27" s="7">
        <f>'Comp''n'!B51</f>
        <v>1873</v>
      </c>
      <c r="C27">
        <f>'Cp,enthalpy'!F26</f>
        <v>1446.8417563043722</v>
      </c>
      <c r="D27">
        <f>'Cp,enthalpy'!G25</f>
        <v>89.60512890644078</v>
      </c>
      <c r="E27">
        <f>'Cp,enthalpy'!H26</f>
        <v>2189.5353766633148</v>
      </c>
      <c r="F27">
        <f>'Cp,enthalpy'!I26</f>
        <v>135.60128384202883</v>
      </c>
      <c r="I27" s="7">
        <f t="shared" si="2"/>
        <v>1873</v>
      </c>
      <c r="J27">
        <f>Density!G12</f>
        <v>2488.6614239449063</v>
      </c>
      <c r="L27">
        <f>'Therm cond'!D12</f>
        <v>0.0975230378677551</v>
      </c>
      <c r="O27" s="7">
        <f t="shared" si="1"/>
        <v>1873</v>
      </c>
      <c r="P27">
        <f>'Surf tens'!M8</f>
        <v>137.59099728977418</v>
      </c>
      <c r="Q27">
        <f>'Surf tens'!N8</f>
        <v>148.1195077585561</v>
      </c>
      <c r="R27">
        <f>'Surf tens'!P8</f>
        <v>240.80758644636626</v>
      </c>
      <c r="S27">
        <f>'Surf tens'!Q8</f>
        <v>251.33609691514818</v>
      </c>
    </row>
    <row r="28" spans="2:19" ht="12.75">
      <c r="B28" s="7">
        <f>'Comp''n'!B52</f>
        <v>1973</v>
      </c>
      <c r="C28">
        <f>C27</f>
        <v>1446.8417563043722</v>
      </c>
      <c r="D28">
        <f>'Cp,enthalpy'!G26</f>
        <v>89.60512890644078</v>
      </c>
      <c r="E28">
        <f>E27+C28*0.001*(B28-B27)</f>
        <v>2334.219552293752</v>
      </c>
      <c r="I28" s="7">
        <f t="shared" si="2"/>
        <v>1973</v>
      </c>
      <c r="J28">
        <f>Density!G13</f>
        <v>2464.262782533682</v>
      </c>
      <c r="L28">
        <f>'Therm cond'!D13</f>
        <v>0.08693201214792694</v>
      </c>
      <c r="O28" s="7">
        <f t="shared" si="1"/>
        <v>1973</v>
      </c>
      <c r="P28">
        <f>'Surf tens'!M9</f>
        <v>122.59099728977418</v>
      </c>
      <c r="Q28">
        <f>'Surf tens'!N9</f>
        <v>143.648018227338</v>
      </c>
      <c r="R28">
        <f>'Surf tens'!P9</f>
        <v>225.80758644636626</v>
      </c>
      <c r="S28">
        <f>'Surf tens'!Q9</f>
        <v>246.8646073839301</v>
      </c>
    </row>
    <row r="29" spans="2:19" ht="12.75">
      <c r="B29" s="7">
        <f>'Comp''n'!B53</f>
        <v>2023</v>
      </c>
      <c r="C29">
        <f>C28</f>
        <v>1446.8417563043722</v>
      </c>
      <c r="D29">
        <f>D28</f>
        <v>89.60512890644078</v>
      </c>
      <c r="E29">
        <f>E28+C29*0.001*(B29-B28)</f>
        <v>2406.5616401089706</v>
      </c>
      <c r="I29" s="7">
        <f t="shared" si="2"/>
        <v>2023</v>
      </c>
      <c r="J29">
        <f>Density!G14</f>
        <v>2452.241988472542</v>
      </c>
      <c r="L29">
        <f>'Therm cond'!D14</f>
        <v>0.08244856429099123</v>
      </c>
      <c r="O29" s="7">
        <f t="shared" si="1"/>
        <v>2023</v>
      </c>
      <c r="P29">
        <f>'Surf tens'!M10</f>
        <v>115.09099728977418</v>
      </c>
      <c r="Q29">
        <f>'Surf tens'!N10</f>
        <v>141.41227346172894</v>
      </c>
      <c r="R29">
        <f>'Surf tens'!P10</f>
        <v>218.30758644636626</v>
      </c>
      <c r="S29">
        <f>'Surf tens'!Q10</f>
        <v>244.62886261832102</v>
      </c>
    </row>
    <row r="30" spans="18:19" ht="12.75">
      <c r="R30" s="4" t="s">
        <v>304</v>
      </c>
      <c r="S30" s="4" t="s">
        <v>304</v>
      </c>
    </row>
    <row r="31" ht="12.75">
      <c r="J31" t="s">
        <v>224</v>
      </c>
    </row>
    <row r="32" spans="9:10" ht="12.75">
      <c r="I32">
        <v>1673</v>
      </c>
      <c r="J32">
        <f>Density!J8</f>
        <v>2514</v>
      </c>
    </row>
    <row r="34" spans="3:18" ht="18">
      <c r="C34" s="29" t="s">
        <v>37</v>
      </c>
      <c r="D34" s="29" t="s">
        <v>289</v>
      </c>
      <c r="E34" s="4"/>
      <c r="H34" s="29" t="s">
        <v>290</v>
      </c>
      <c r="I34" s="29"/>
      <c r="P34" s="29" t="s">
        <v>292</v>
      </c>
      <c r="Q34" s="30"/>
      <c r="R34" s="30"/>
    </row>
    <row r="35" spans="3:18" ht="12.75">
      <c r="C35" s="7" t="s">
        <v>229</v>
      </c>
      <c r="D35" s="7" t="s">
        <v>286</v>
      </c>
      <c r="E35" s="7" t="s">
        <v>251</v>
      </c>
      <c r="I35" t="s">
        <v>73</v>
      </c>
      <c r="L35" t="s">
        <v>75</v>
      </c>
      <c r="Q35" t="s">
        <v>73</v>
      </c>
      <c r="R35" t="s">
        <v>75</v>
      </c>
    </row>
    <row r="36" spans="2:16" ht="12.75">
      <c r="B36" t="s">
        <v>55</v>
      </c>
      <c r="G36" t="s">
        <v>55</v>
      </c>
      <c r="H36" t="s">
        <v>229</v>
      </c>
      <c r="I36" t="s">
        <v>286</v>
      </c>
      <c r="J36" t="s">
        <v>251</v>
      </c>
      <c r="L36" t="s">
        <v>229</v>
      </c>
      <c r="M36" t="s">
        <v>286</v>
      </c>
      <c r="N36" t="s">
        <v>251</v>
      </c>
      <c r="P36" t="s">
        <v>55</v>
      </c>
    </row>
    <row r="37" spans="2:18" ht="12.75">
      <c r="B37" s="4">
        <f>B23</f>
        <v>1473</v>
      </c>
      <c r="C37">
        <f>Viscosity!G3</f>
        <v>5.42658538849298</v>
      </c>
      <c r="D37">
        <f>Viscosity!Z39</f>
        <v>5.871388425043166</v>
      </c>
      <c r="E37">
        <f>Viscosity!E107</f>
        <v>18.848906173204952</v>
      </c>
      <c r="G37" s="4">
        <f>B37</f>
        <v>1473</v>
      </c>
      <c r="H37">
        <f>'Electrical cond'!I4</f>
        <v>0.22288256750136076</v>
      </c>
      <c r="I37">
        <f>'Electrical cond'!U4</f>
        <v>0.20848798963230739</v>
      </c>
      <c r="J37">
        <f>'Electrical cond'!AC4</f>
        <v>0.07758992454746778</v>
      </c>
      <c r="L37">
        <f>'Electrical cond'!I12</f>
        <v>0.8701585730639324</v>
      </c>
      <c r="M37">
        <f>'Electrical cond'!U12</f>
        <v>0.830685772902839</v>
      </c>
      <c r="N37">
        <f>'Electrical cond'!AC4</f>
        <v>0.07758992454746778</v>
      </c>
      <c r="P37" s="4">
        <f>B37</f>
        <v>1473</v>
      </c>
      <c r="Q37">
        <f>'Therm cond'!D8</f>
        <v>0.18252257364306196</v>
      </c>
      <c r="R37">
        <f>'Therm cond'!I8</f>
        <v>0.1606913092592235</v>
      </c>
    </row>
    <row r="38" spans="2:17" ht="12.75">
      <c r="B38" s="7">
        <f aca="true" t="shared" si="3" ref="B38:B43">B24</f>
        <v>1573</v>
      </c>
      <c r="C38">
        <f>Viscosity!G4</f>
        <v>2.7845273238324384</v>
      </c>
      <c r="D38">
        <f>Viscosity!Z40</f>
        <v>2.822361034394221</v>
      </c>
      <c r="E38">
        <f>Viscosity!E108</f>
        <v>9.08851888000792</v>
      </c>
      <c r="G38" s="7">
        <f aca="true" t="shared" si="4" ref="G38:G43">B38</f>
        <v>1573</v>
      </c>
      <c r="H38">
        <f>'Electrical cond'!I5</f>
        <v>0.3923270648370482</v>
      </c>
      <c r="I38">
        <f>'Electrical cond'!U5</f>
        <v>0.3878655870578928</v>
      </c>
      <c r="J38">
        <f>'Electrical cond'!AC5</f>
        <v>0.1439706636328968</v>
      </c>
      <c r="L38">
        <f>'Electrical cond'!I13</f>
        <v>1.2893068679600945</v>
      </c>
      <c r="M38">
        <f>'Electrical cond'!U13</f>
        <v>1.2790940923216734</v>
      </c>
      <c r="N38">
        <f>'Electrical cond'!AC5</f>
        <v>0.1439706636328968</v>
      </c>
      <c r="P38" s="7">
        <f aca="true" t="shared" si="5" ref="P38:P43">B38</f>
        <v>1573</v>
      </c>
      <c r="Q38">
        <f>'Therm cond'!D9</f>
        <v>0.1512066919028017</v>
      </c>
    </row>
    <row r="39" spans="2:17" ht="12.75">
      <c r="B39" s="7">
        <f t="shared" si="3"/>
        <v>1673</v>
      </c>
      <c r="C39">
        <f>Viscosity!G5</f>
        <v>1.553349240030372</v>
      </c>
      <c r="D39">
        <f>Viscosity!Z41</f>
        <v>1.4624607037996415</v>
      </c>
      <c r="E39">
        <f>Viscosity!E109</f>
        <v>4.799795451313814</v>
      </c>
      <c r="G39" s="7">
        <f t="shared" si="4"/>
        <v>1673</v>
      </c>
      <c r="H39">
        <f>'Electrical cond'!I6</f>
        <v>0.643374495665604</v>
      </c>
      <c r="I39">
        <f>'Electrical cond'!U6</f>
        <v>0.6771025311495733</v>
      </c>
      <c r="J39">
        <f>'Electrical cond'!AC6</f>
        <v>0.24731411757802585</v>
      </c>
      <c r="L39">
        <f>'Electrical cond'!I14</f>
        <v>1.8185601892751146</v>
      </c>
      <c r="M39">
        <f>'Electrical cond'!U14</f>
        <v>1.8843338348417116</v>
      </c>
      <c r="N39">
        <f>'Electrical cond'!AC6</f>
        <v>0.24731411757802585</v>
      </c>
      <c r="P39" s="7">
        <f t="shared" si="5"/>
        <v>1673</v>
      </c>
      <c r="Q39">
        <f>'Therm cond'!D10</f>
        <v>0.12825184873825102</v>
      </c>
    </row>
    <row r="40" spans="2:17" ht="12.75">
      <c r="B40" s="7">
        <f t="shared" si="3"/>
        <v>1773</v>
      </c>
      <c r="C40">
        <f>Viscosity!G6</f>
        <v>0.9286356461064101</v>
      </c>
      <c r="D40">
        <f>Viscosity!Z42</f>
        <v>0.8200868915921387</v>
      </c>
      <c r="E40">
        <f>Viscosity!E110</f>
        <v>2.733344198719221</v>
      </c>
      <c r="G40" s="7">
        <f t="shared" si="4"/>
        <v>1773</v>
      </c>
      <c r="H40">
        <f>'Electrical cond'!I7</f>
        <v>0.9949608893014338</v>
      </c>
      <c r="I40">
        <f>'Electrical cond'!U7</f>
        <v>1.1054940676306402</v>
      </c>
      <c r="J40">
        <f>'Electrical cond'!AC7</f>
        <v>0.39854408753174214</v>
      </c>
      <c r="L40">
        <f>'Electrical cond'!I15</f>
        <v>2.4625565153527487</v>
      </c>
      <c r="M40">
        <f>'Electrical cond'!U15</f>
        <v>2.649711671636136</v>
      </c>
      <c r="N40">
        <f>'Electrical cond'!AC7</f>
        <v>0.39854408753174214</v>
      </c>
      <c r="P40" s="7">
        <f t="shared" si="5"/>
        <v>1773</v>
      </c>
      <c r="Q40">
        <f>'Therm cond'!D11</f>
        <v>0.11092662299827133</v>
      </c>
    </row>
    <row r="41" spans="2:17" ht="12.75">
      <c r="B41" s="7">
        <f t="shared" si="3"/>
        <v>1873</v>
      </c>
      <c r="C41">
        <f>Viscosity!G7</f>
        <v>0.5882844788965207</v>
      </c>
      <c r="D41">
        <f>Viscosity!Z43</f>
        <v>0.4975470669169013</v>
      </c>
      <c r="E41">
        <f>Viscosity!E111</f>
        <v>1.6580028908382403</v>
      </c>
      <c r="G41" s="7">
        <f t="shared" si="4"/>
        <v>1873</v>
      </c>
      <c r="H41">
        <f>'Electrical cond'!I8</f>
        <v>1.4649446964497579</v>
      </c>
      <c r="I41">
        <f>'Electrical cond'!U8</f>
        <v>1.6884044997027006</v>
      </c>
      <c r="J41">
        <f>'Electrical cond'!AC8</f>
        <v>0.6087894013959639</v>
      </c>
      <c r="L41">
        <f>'Electrical cond'!I16</f>
        <v>3.2226645476618163</v>
      </c>
      <c r="M41">
        <f>'Electrical cond'!U16</f>
        <v>3.5570249791097224</v>
      </c>
      <c r="N41">
        <f>'Electrical cond'!AC8</f>
        <v>0.6087894013959639</v>
      </c>
      <c r="P41" s="7">
        <f t="shared" si="5"/>
        <v>1873</v>
      </c>
      <c r="Q41">
        <f>'Therm cond'!D12</f>
        <v>0.0975230378677551</v>
      </c>
    </row>
    <row r="42" spans="2:17" ht="12.75">
      <c r="B42" s="7">
        <f t="shared" si="3"/>
        <v>1973</v>
      </c>
      <c r="C42">
        <f>Viscosity!G8</f>
        <v>0.3913833236045588</v>
      </c>
      <c r="D42">
        <f>Viscosity!Z44</f>
        <v>0.32582970136919415</v>
      </c>
      <c r="E42">
        <f>Viscosity!E112</f>
        <v>1.0608647883189404</v>
      </c>
      <c r="G42" s="7">
        <f t="shared" si="4"/>
        <v>1973</v>
      </c>
      <c r="H42">
        <f>'Electrical cond'!I9</f>
        <v>2.0692291131019744</v>
      </c>
      <c r="I42">
        <f>'Electrical cond'!U9</f>
        <v>2.41699680979699</v>
      </c>
      <c r="J42">
        <f>'Electrical cond'!AC9</f>
        <v>0.8888132375160741</v>
      </c>
      <c r="L42">
        <f>'Electrical cond'!I17</f>
        <v>4.576631208777785</v>
      </c>
      <c r="M42">
        <f>'Electrical cond'!U17</f>
        <v>4.564799403837964</v>
      </c>
      <c r="N42">
        <f>'Electrical cond'!AC9</f>
        <v>0.8888132375160741</v>
      </c>
      <c r="P42" s="7">
        <f t="shared" si="5"/>
        <v>1973</v>
      </c>
      <c r="Q42">
        <f>'Therm cond'!D13</f>
        <v>0.08693201214792694</v>
      </c>
    </row>
    <row r="43" spans="2:17" ht="12.75">
      <c r="B43" s="7">
        <f t="shared" si="3"/>
        <v>2023</v>
      </c>
      <c r="C43">
        <f>Viscosity!G9</f>
        <v>0.32440151607232387</v>
      </c>
      <c r="D43">
        <f>Viscosity!Z45</f>
        <v>0.27105401053334255</v>
      </c>
      <c r="E43">
        <f>Viscosity!E113</f>
        <v>0.8635719741423821</v>
      </c>
      <c r="G43" s="7">
        <f t="shared" si="4"/>
        <v>2023</v>
      </c>
      <c r="H43">
        <f>'Electrical cond'!I10</f>
        <v>2.42601148625345</v>
      </c>
      <c r="I43">
        <f>'Electrical cond'!U10</f>
        <v>2.824993552478866</v>
      </c>
      <c r="J43">
        <f>'Electrical cond'!AC10</f>
        <v>1.0581338183602056</v>
      </c>
      <c r="L43">
        <f>'Electrical cond'!I18</f>
        <v>4.576631208777785</v>
      </c>
      <c r="M43">
        <f>'Electrical cond'!U18</f>
        <v>5.087746590629338</v>
      </c>
      <c r="N43">
        <f>'Electrical cond'!AC10</f>
        <v>1.0581338183602056</v>
      </c>
      <c r="P43" s="7">
        <f t="shared" si="5"/>
        <v>2023</v>
      </c>
      <c r="Q43">
        <f>'Therm cond'!D14</f>
        <v>0.08244856429099123</v>
      </c>
    </row>
    <row r="45" spans="7:12" ht="12.75">
      <c r="G45" s="4" t="s">
        <v>291</v>
      </c>
      <c r="H45" s="4"/>
      <c r="I45" s="4"/>
      <c r="J45" s="4"/>
      <c r="K45" s="4"/>
      <c r="L45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Z53"/>
  <sheetViews>
    <sheetView workbookViewId="0" topLeftCell="A1">
      <selection activeCell="K34" sqref="K34"/>
    </sheetView>
  </sheetViews>
  <sheetFormatPr defaultColWidth="9.140625" defaultRowHeight="12.75"/>
  <sheetData>
    <row r="2" ht="12.75">
      <c r="U2" t="s">
        <v>186</v>
      </c>
    </row>
    <row r="3" spans="3:26" ht="12.75">
      <c r="C3" t="s">
        <v>26</v>
      </c>
      <c r="D3" t="s">
        <v>27</v>
      </c>
      <c r="E3" t="s">
        <v>12</v>
      </c>
      <c r="F3" t="s">
        <v>28</v>
      </c>
      <c r="G3" t="s">
        <v>29</v>
      </c>
      <c r="H3" t="s">
        <v>103</v>
      </c>
      <c r="I3" t="s">
        <v>30</v>
      </c>
      <c r="J3" t="s">
        <v>31</v>
      </c>
      <c r="K3" t="s">
        <v>24</v>
      </c>
      <c r="L3" t="s">
        <v>42</v>
      </c>
      <c r="M3" t="s">
        <v>23</v>
      </c>
      <c r="N3" t="s">
        <v>104</v>
      </c>
      <c r="O3" t="s">
        <v>139</v>
      </c>
      <c r="P3" t="s">
        <v>140</v>
      </c>
      <c r="T3" t="s">
        <v>19</v>
      </c>
      <c r="U3" t="s">
        <v>185</v>
      </c>
      <c r="V3" t="s">
        <v>187</v>
      </c>
      <c r="X3" t="s">
        <v>188</v>
      </c>
      <c r="Y3" t="s">
        <v>189</v>
      </c>
      <c r="Z3" t="s">
        <v>192</v>
      </c>
    </row>
    <row r="4" spans="2:26" ht="12.75">
      <c r="B4" t="s">
        <v>0</v>
      </c>
      <c r="C4">
        <v>37</v>
      </c>
      <c r="D4">
        <f>C4/C25</f>
        <v>37</v>
      </c>
      <c r="E4">
        <v>0</v>
      </c>
      <c r="F4">
        <f>100*(D4+E4)/(D24+E24)</f>
        <v>37</v>
      </c>
      <c r="H4">
        <v>60</v>
      </c>
      <c r="I4">
        <f>F4/60</f>
        <v>0.6166666666666667</v>
      </c>
      <c r="J4">
        <f>I4/I24</f>
        <v>0.4000171641944302</v>
      </c>
      <c r="K4">
        <f>J4+2*J6+0.45*2*J20+0.55*2*J17</f>
        <v>0.4847569652761762</v>
      </c>
      <c r="L4">
        <f>2*(J5+J7+J8+J9+J10+J11+J12+J18+J19+J21+2*J14+2*J15+3*J16+0.45*4*J17+0.55*4*J20-J6-J17-J20)</f>
        <v>0.8794320537737118</v>
      </c>
      <c r="M4">
        <f>L4/K4</f>
        <v>1.8141710522357961</v>
      </c>
      <c r="N4">
        <f>4-M4</f>
        <v>2.185828947764204</v>
      </c>
      <c r="O4">
        <f>2*(J5+J7+J8+J9+J10+J11+J12+J18+J19+J21+2*J14+2*J15+3*J16+(0.73-0.113*N4)*4*J17+(0.67-0.086*N4)*4*J20-J6-J17-J20)/(J4+2*J6+2*(0.27+0.113*N4)*J17+2*(0.33+0.086*N4)*J20)</f>
        <v>1.8109274651107092</v>
      </c>
      <c r="P4">
        <f>4-O4</f>
        <v>2.1890725348892905</v>
      </c>
      <c r="Q4">
        <f>0.48*2*J4</f>
        <v>0.384016477626653</v>
      </c>
      <c r="R4">
        <f>J4*2</f>
        <v>0.8000343283888603</v>
      </c>
      <c r="T4">
        <f>J5+J7+J8+J9+J10+J11+J12+J13+J17+J18+J19+J20+L21</f>
        <v>0.5524945903452457</v>
      </c>
      <c r="U4">
        <f>(T4-J6)/T4</f>
        <v>0.9308683075274237</v>
      </c>
      <c r="V4">
        <f>J4</f>
        <v>0.4000171641944302</v>
      </c>
      <c r="W4">
        <f aca="true" t="shared" si="0" ref="W4:W23">V4</f>
        <v>0.4000171641944302</v>
      </c>
      <c r="X4">
        <f>2*W4</f>
        <v>0.8000343283888603</v>
      </c>
      <c r="Y4">
        <f>0.48*X4</f>
        <v>0.384016477626653</v>
      </c>
      <c r="Z4">
        <f>Y24/X24</f>
        <v>0.6961738733394359</v>
      </c>
    </row>
    <row r="5" spans="2:25" ht="12.75">
      <c r="B5" t="s">
        <v>1</v>
      </c>
      <c r="C5">
        <v>36</v>
      </c>
      <c r="D5">
        <f>C5/C25</f>
        <v>36</v>
      </c>
      <c r="E5">
        <v>0</v>
      </c>
      <c r="F5">
        <f>100*(D5+E5)/(D24+E24)</f>
        <v>36</v>
      </c>
      <c r="G5">
        <f>F5-(56/38)*F13</f>
        <v>27.157894736842106</v>
      </c>
      <c r="H5">
        <v>56.08</v>
      </c>
      <c r="I5">
        <f>G5/56.08</f>
        <v>0.48427059088520163</v>
      </c>
      <c r="J5">
        <f>I5/I24</f>
        <v>0.31413494346269094</v>
      </c>
      <c r="Q5">
        <f>P5</f>
        <v>0</v>
      </c>
      <c r="R5">
        <f>P5</f>
        <v>0</v>
      </c>
      <c r="V5">
        <f>J5*U4</f>
        <v>0.292418263156338</v>
      </c>
      <c r="W5">
        <f t="shared" si="0"/>
        <v>0.292418263156338</v>
      </c>
      <c r="X5">
        <f>W5</f>
        <v>0.292418263156338</v>
      </c>
      <c r="Y5">
        <f>X5</f>
        <v>0.292418263156338</v>
      </c>
    </row>
    <row r="6" spans="2:25" ht="12.75">
      <c r="B6" t="s">
        <v>2</v>
      </c>
      <c r="C6">
        <v>6</v>
      </c>
      <c r="D6">
        <f>C6/C25</f>
        <v>6</v>
      </c>
      <c r="E6">
        <v>0</v>
      </c>
      <c r="F6">
        <f>100*(D6+E6)/(D24+E24)</f>
        <v>6</v>
      </c>
      <c r="H6">
        <v>101.9</v>
      </c>
      <c r="I6">
        <f>F6/101.9</f>
        <v>0.05888125613346418</v>
      </c>
      <c r="J6">
        <f>I6/I24</f>
        <v>0.038194886112509575</v>
      </c>
      <c r="Q6">
        <f>3*0.6*J6</f>
        <v>0.06875079500251723</v>
      </c>
      <c r="R6">
        <f>3*J6</f>
        <v>0.11458465833752873</v>
      </c>
      <c r="V6">
        <f>J6</f>
        <v>0.038194886112509575</v>
      </c>
      <c r="W6">
        <f t="shared" si="0"/>
        <v>0.038194886112509575</v>
      </c>
      <c r="X6">
        <f>3*W6</f>
        <v>0.11458465833752873</v>
      </c>
      <c r="Y6">
        <f>X6*0.6</f>
        <v>0.06875079500251724</v>
      </c>
    </row>
    <row r="7" spans="2:25" ht="12.75">
      <c r="B7" t="s">
        <v>3</v>
      </c>
      <c r="C7">
        <v>1</v>
      </c>
      <c r="D7">
        <f>C7/C25</f>
        <v>1</v>
      </c>
      <c r="E7">
        <v>0</v>
      </c>
      <c r="F7">
        <f>100*(D7+E7)/(D24+E24)</f>
        <v>1</v>
      </c>
      <c r="H7">
        <v>40.3</v>
      </c>
      <c r="I7">
        <f>F7/40.3</f>
        <v>0.02481389578163772</v>
      </c>
      <c r="J7">
        <f>I7/I24</f>
        <v>0.016096190632194897</v>
      </c>
      <c r="Q7">
        <f>0.78*J7</f>
        <v>0.01255502869311202</v>
      </c>
      <c r="R7">
        <f aca="true" t="shared" si="1" ref="R7:R12">J7</f>
        <v>0.016096190632194897</v>
      </c>
      <c r="V7">
        <f>J7*U4</f>
        <v>0.014983433731430035</v>
      </c>
      <c r="W7">
        <f t="shared" si="0"/>
        <v>0.014983433731430035</v>
      </c>
      <c r="X7">
        <f aca="true" t="shared" si="2" ref="X7:X13">W7</f>
        <v>0.014983433731430035</v>
      </c>
      <c r="Y7">
        <f>0.78*X7</f>
        <v>0.011687078310515428</v>
      </c>
    </row>
    <row r="8" spans="2:25" ht="12.75">
      <c r="B8" t="s">
        <v>4</v>
      </c>
      <c r="C8">
        <v>10</v>
      </c>
      <c r="D8">
        <f>C8/C25</f>
        <v>10</v>
      </c>
      <c r="E8">
        <v>0</v>
      </c>
      <c r="F8">
        <f>100*(D8+E8)/(D24+E24)</f>
        <v>10</v>
      </c>
      <c r="H8">
        <v>62</v>
      </c>
      <c r="I8">
        <f>F8/62</f>
        <v>0.16129032258064516</v>
      </c>
      <c r="J8">
        <f>I8/I24</f>
        <v>0.10462523910926683</v>
      </c>
      <c r="Q8">
        <f>1.15*J8</f>
        <v>0.12031902497565684</v>
      </c>
      <c r="R8">
        <f t="shared" si="1"/>
        <v>0.10462523910926683</v>
      </c>
      <c r="V8">
        <f>J8*U4</f>
        <v>0.09739231925429523</v>
      </c>
      <c r="W8">
        <f t="shared" si="0"/>
        <v>0.09739231925429523</v>
      </c>
      <c r="X8">
        <f t="shared" si="2"/>
        <v>0.09739231925429523</v>
      </c>
      <c r="Y8">
        <f>1.15*X8</f>
        <v>0.1120011671424395</v>
      </c>
    </row>
    <row r="9" spans="2:25" ht="12.75">
      <c r="B9" t="s">
        <v>5</v>
      </c>
      <c r="C9">
        <v>1</v>
      </c>
      <c r="D9">
        <f>C9/C25</f>
        <v>1</v>
      </c>
      <c r="E9">
        <v>0</v>
      </c>
      <c r="F9">
        <f>100*(D9+E9)/(D24+E24)</f>
        <v>1</v>
      </c>
      <c r="H9">
        <v>94.2</v>
      </c>
      <c r="I9">
        <f>F9/94.2</f>
        <v>0.010615711252653927</v>
      </c>
      <c r="J9">
        <f>I9/I24</f>
        <v>0.00688616223436788</v>
      </c>
      <c r="Q9">
        <f>1.4*J9</f>
        <v>0.009640627128115031</v>
      </c>
      <c r="R9">
        <f t="shared" si="1"/>
        <v>0.00688616223436788</v>
      </c>
      <c r="V9">
        <f>J9*U4</f>
        <v>0.00641011018446529</v>
      </c>
      <c r="W9">
        <f t="shared" si="0"/>
        <v>0.00641011018446529</v>
      </c>
      <c r="X9">
        <f t="shared" si="2"/>
        <v>0.00641011018446529</v>
      </c>
      <c r="Y9">
        <f>1.4*X9</f>
        <v>0.008974154258251406</v>
      </c>
    </row>
    <row r="10" spans="2:25" ht="12.75">
      <c r="B10" t="s">
        <v>8</v>
      </c>
      <c r="C10">
        <v>0</v>
      </c>
      <c r="D10">
        <f>C10/C25</f>
        <v>0</v>
      </c>
      <c r="E10">
        <v>0</v>
      </c>
      <c r="F10">
        <f>100*(D10+E10)/(D24+E24)</f>
        <v>0</v>
      </c>
      <c r="H10">
        <v>29.8</v>
      </c>
      <c r="I10">
        <f>F10/29.8</f>
        <v>0</v>
      </c>
      <c r="J10">
        <f>I10/I24</f>
        <v>0</v>
      </c>
      <c r="Q10">
        <f>J10</f>
        <v>0</v>
      </c>
      <c r="R10">
        <f t="shared" si="1"/>
        <v>0</v>
      </c>
      <c r="V10">
        <f>J10*U4</f>
        <v>0</v>
      </c>
      <c r="W10">
        <f t="shared" si="0"/>
        <v>0</v>
      </c>
      <c r="X10">
        <f t="shared" si="2"/>
        <v>0</v>
      </c>
      <c r="Y10">
        <f>X10</f>
        <v>0</v>
      </c>
    </row>
    <row r="11" spans="2:25" ht="12.75">
      <c r="B11" t="s">
        <v>6</v>
      </c>
      <c r="C11">
        <v>0</v>
      </c>
      <c r="D11">
        <f>C11/C25</f>
        <v>0</v>
      </c>
      <c r="E11">
        <v>0</v>
      </c>
      <c r="F11">
        <f>D11+E11</f>
        <v>0</v>
      </c>
      <c r="H11">
        <v>71.85</v>
      </c>
      <c r="I11">
        <f>F11/71.85</f>
        <v>0</v>
      </c>
      <c r="J11">
        <f>I11/I24</f>
        <v>0</v>
      </c>
      <c r="Q11">
        <f>J11</f>
        <v>0</v>
      </c>
      <c r="R11">
        <f t="shared" si="1"/>
        <v>0</v>
      </c>
      <c r="V11">
        <f>J11*U4</f>
        <v>0</v>
      </c>
      <c r="W11">
        <f t="shared" si="0"/>
        <v>0</v>
      </c>
      <c r="X11">
        <f t="shared" si="2"/>
        <v>0</v>
      </c>
      <c r="Y11">
        <f>X11</f>
        <v>0</v>
      </c>
    </row>
    <row r="12" spans="2:25" ht="12.75">
      <c r="B12" t="s">
        <v>7</v>
      </c>
      <c r="C12">
        <v>0</v>
      </c>
      <c r="D12">
        <f>C12/C25</f>
        <v>0</v>
      </c>
      <c r="E12">
        <v>0</v>
      </c>
      <c r="F12">
        <f>100*(D12+E12)/(D24+E24)</f>
        <v>0</v>
      </c>
      <c r="H12">
        <v>71</v>
      </c>
      <c r="I12">
        <f>F12/71</f>
        <v>0</v>
      </c>
      <c r="J12">
        <f>I12/I24</f>
        <v>0</v>
      </c>
      <c r="Q12">
        <f>J12</f>
        <v>0</v>
      </c>
      <c r="R12">
        <f t="shared" si="1"/>
        <v>0</v>
      </c>
      <c r="V12">
        <f>J12*U4</f>
        <v>0</v>
      </c>
      <c r="W12">
        <f t="shared" si="0"/>
        <v>0</v>
      </c>
      <c r="X12">
        <f t="shared" si="2"/>
        <v>0</v>
      </c>
      <c r="Y12">
        <f>X12</f>
        <v>0</v>
      </c>
    </row>
    <row r="13" spans="2:25" ht="12.75">
      <c r="B13" t="s">
        <v>118</v>
      </c>
      <c r="C13">
        <v>6</v>
      </c>
      <c r="D13">
        <f>C13/C25</f>
        <v>6</v>
      </c>
      <c r="E13">
        <v>0</v>
      </c>
      <c r="F13">
        <f>100*(D13+E13)/(D24+E24)</f>
        <v>6</v>
      </c>
      <c r="G13">
        <f>(78/38)*F13</f>
        <v>12.315789473684212</v>
      </c>
      <c r="H13">
        <v>78</v>
      </c>
      <c r="I13">
        <f>G13/78</f>
        <v>0.15789473684210528</v>
      </c>
      <c r="J13">
        <f>I13/I24</f>
        <v>0.10242260249644017</v>
      </c>
      <c r="Q13">
        <f>1.2*J13</f>
        <v>0.1229071229957282</v>
      </c>
      <c r="R13">
        <f>J13</f>
        <v>0.10242260249644017</v>
      </c>
      <c r="V13">
        <f>J13</f>
        <v>0.10242260249644017</v>
      </c>
      <c r="W13">
        <f t="shared" si="0"/>
        <v>0.10242260249644017</v>
      </c>
      <c r="X13">
        <f t="shared" si="2"/>
        <v>0.10242260249644017</v>
      </c>
      <c r="Y13">
        <f>1.2*X13</f>
        <v>0.1229071229957282</v>
      </c>
    </row>
    <row r="14" spans="2:25" ht="12.75">
      <c r="B14" t="s">
        <v>9</v>
      </c>
      <c r="C14">
        <v>0</v>
      </c>
      <c r="D14">
        <f>C14/C25</f>
        <v>0</v>
      </c>
      <c r="E14">
        <v>0</v>
      </c>
      <c r="F14">
        <f>100*(D14+E14)/(D24+E24)</f>
        <v>0</v>
      </c>
      <c r="H14">
        <v>123.2</v>
      </c>
      <c r="I14">
        <f>F14/123.2</f>
        <v>0</v>
      </c>
      <c r="J14">
        <f>I14/I24</f>
        <v>0</v>
      </c>
      <c r="V14">
        <f>J14</f>
        <v>0</v>
      </c>
      <c r="W14">
        <f t="shared" si="0"/>
        <v>0</v>
      </c>
      <c r="X14">
        <f>2*W14</f>
        <v>0</v>
      </c>
      <c r="Y14">
        <f>0.61*X14</f>
        <v>0</v>
      </c>
    </row>
    <row r="15" spans="2:25" ht="12.75">
      <c r="B15" t="s">
        <v>10</v>
      </c>
      <c r="C15">
        <v>0</v>
      </c>
      <c r="D15">
        <f>C15/C25</f>
        <v>0</v>
      </c>
      <c r="E15">
        <v>0</v>
      </c>
      <c r="F15">
        <f>100*(D15+E15)/(D24+E24)</f>
        <v>0</v>
      </c>
      <c r="H15">
        <v>79.9</v>
      </c>
      <c r="I15">
        <f>F15/79.9</f>
        <v>0</v>
      </c>
      <c r="J15">
        <f>I15/I24</f>
        <v>0</v>
      </c>
      <c r="V15">
        <f>J15</f>
        <v>0</v>
      </c>
      <c r="W15">
        <f t="shared" si="0"/>
        <v>0</v>
      </c>
      <c r="X15">
        <f>2*W15</f>
        <v>0</v>
      </c>
      <c r="Y15">
        <f>0.61*X15</f>
        <v>0</v>
      </c>
    </row>
    <row r="16" spans="2:25" ht="12.75">
      <c r="B16" t="s">
        <v>11</v>
      </c>
      <c r="C16">
        <v>1</v>
      </c>
      <c r="D16">
        <f>C16/C25</f>
        <v>1</v>
      </c>
      <c r="E16">
        <v>0</v>
      </c>
      <c r="F16">
        <f>100*(D16+E16)/(D24+E24)</f>
        <v>1</v>
      </c>
      <c r="H16">
        <v>69.8</v>
      </c>
      <c r="I16">
        <f>F16/69.8</f>
        <v>0.014326647564469915</v>
      </c>
      <c r="J16">
        <f>I16/I24</f>
        <v>0.009293359347814532</v>
      </c>
      <c r="Q16">
        <f>0.42*3*J16</f>
        <v>0.01170963277824631</v>
      </c>
      <c r="R16">
        <f>3*J16</f>
        <v>0.027880078043443595</v>
      </c>
      <c r="V16">
        <f>J16</f>
        <v>0.009293359347814532</v>
      </c>
      <c r="W16">
        <f t="shared" si="0"/>
        <v>0.009293359347814532</v>
      </c>
      <c r="X16">
        <f>3*W16</f>
        <v>0.027880078043443595</v>
      </c>
      <c r="Y16">
        <f>0.42*X16</f>
        <v>0.011709632778246309</v>
      </c>
    </row>
    <row r="17" spans="2:25" ht="12.75">
      <c r="B17" t="s">
        <v>99</v>
      </c>
      <c r="C17">
        <v>1</v>
      </c>
      <c r="D17">
        <f>C17/C25</f>
        <v>1</v>
      </c>
      <c r="E17">
        <v>0</v>
      </c>
      <c r="F17">
        <f>D17+E17/(D24+E24)</f>
        <v>1</v>
      </c>
      <c r="H17">
        <f>104+48</f>
        <v>152</v>
      </c>
      <c r="I17">
        <f>F17/H17</f>
        <v>0.006578947368421052</v>
      </c>
      <c r="J17">
        <f>I17/I24</f>
        <v>0.004267608437351673</v>
      </c>
      <c r="V17">
        <f>J17*U4</f>
        <v>0.003972581443267305</v>
      </c>
      <c r="W17">
        <f t="shared" si="0"/>
        <v>0.003972581443267305</v>
      </c>
      <c r="X17">
        <f>3*W17</f>
        <v>0.011917744329801916</v>
      </c>
      <c r="Y17">
        <f>0.75*X17</f>
        <v>0.008938308247351437</v>
      </c>
    </row>
    <row r="18" spans="2:25" ht="12.75">
      <c r="B18" t="s">
        <v>100</v>
      </c>
      <c r="C18">
        <v>0</v>
      </c>
      <c r="D18">
        <f>C18/C25</f>
        <v>0</v>
      </c>
      <c r="E18">
        <v>0</v>
      </c>
      <c r="F18">
        <f>D18+E18/(D24+E24)</f>
        <v>0</v>
      </c>
      <c r="H18">
        <f>52+16</f>
        <v>68</v>
      </c>
      <c r="I18">
        <f aca="true" t="shared" si="3" ref="I18:I23">F18/H18</f>
        <v>0</v>
      </c>
      <c r="J18">
        <f>I18/I24</f>
        <v>0</v>
      </c>
      <c r="V18">
        <f>J18*U4</f>
        <v>0</v>
      </c>
      <c r="W18">
        <f t="shared" si="0"/>
        <v>0</v>
      </c>
      <c r="X18">
        <f>W18</f>
        <v>0</v>
      </c>
      <c r="Y18">
        <f>X18</f>
        <v>0</v>
      </c>
    </row>
    <row r="19" spans="2:25" ht="12.75">
      <c r="B19" t="s">
        <v>101</v>
      </c>
      <c r="C19">
        <v>0</v>
      </c>
      <c r="D19">
        <f>C19/C25</f>
        <v>0</v>
      </c>
      <c r="E19">
        <v>0</v>
      </c>
      <c r="F19">
        <f>D19+E19/(D24+E24)</f>
        <v>0</v>
      </c>
      <c r="H19">
        <f>58.7+16</f>
        <v>74.7</v>
      </c>
      <c r="I19">
        <f t="shared" si="3"/>
        <v>0</v>
      </c>
      <c r="J19">
        <f>I19/I24</f>
        <v>0</v>
      </c>
      <c r="V19">
        <f>J19*U4</f>
        <v>0</v>
      </c>
      <c r="W19">
        <f t="shared" si="0"/>
        <v>0</v>
      </c>
      <c r="X19">
        <f>W19</f>
        <v>0</v>
      </c>
      <c r="Y19">
        <f>X19</f>
        <v>0</v>
      </c>
    </row>
    <row r="20" spans="2:25" ht="12.75">
      <c r="B20" t="s">
        <v>115</v>
      </c>
      <c r="C20">
        <v>1</v>
      </c>
      <c r="D20">
        <f>C20/C25</f>
        <v>1</v>
      </c>
      <c r="E20">
        <v>0</v>
      </c>
      <c r="F20">
        <f>D20+E20/(D24+E24)</f>
        <v>1</v>
      </c>
      <c r="H20" s="4">
        <v>159.7</v>
      </c>
      <c r="I20">
        <f t="shared" si="3"/>
        <v>0.006261740763932374</v>
      </c>
      <c r="J20">
        <f>I20/I24</f>
        <v>0.00406184397293334</v>
      </c>
      <c r="V20">
        <f>J20*U4</f>
        <v>0.003781041824524924</v>
      </c>
      <c r="W20">
        <f t="shared" si="0"/>
        <v>0.003781041824524924</v>
      </c>
      <c r="X20">
        <f>3*W20</f>
        <v>0.011343125473574772</v>
      </c>
      <c r="Y20">
        <f>0.75*X20</f>
        <v>0.00850734410518108</v>
      </c>
    </row>
    <row r="21" spans="2:25" ht="12.75">
      <c r="B21" t="s">
        <v>190</v>
      </c>
      <c r="C21">
        <v>0</v>
      </c>
      <c r="D21">
        <f>C21/C25</f>
        <v>0</v>
      </c>
      <c r="E21">
        <v>0</v>
      </c>
      <c r="F21">
        <v>0</v>
      </c>
      <c r="H21">
        <v>153.3</v>
      </c>
      <c r="I21">
        <f t="shared" si="3"/>
        <v>0</v>
      </c>
      <c r="J21">
        <f>I21/I24</f>
        <v>0</v>
      </c>
      <c r="V21">
        <f>J21*U4</f>
        <v>0</v>
      </c>
      <c r="W21">
        <f t="shared" si="0"/>
        <v>0</v>
      </c>
      <c r="X21">
        <f>W21</f>
        <v>0</v>
      </c>
      <c r="Y21">
        <f>1.15*X21</f>
        <v>0</v>
      </c>
    </row>
    <row r="22" spans="2:25" ht="12.75">
      <c r="B22" t="s">
        <v>191</v>
      </c>
      <c r="C22">
        <v>0</v>
      </c>
      <c r="D22">
        <f>C22/C25</f>
        <v>0</v>
      </c>
      <c r="E22">
        <v>0</v>
      </c>
      <c r="F22">
        <v>0</v>
      </c>
      <c r="H22">
        <f>87.6+16</f>
        <v>103.6</v>
      </c>
      <c r="I22">
        <f>F22/H22</f>
        <v>0</v>
      </c>
      <c r="J22">
        <f>I22/I24</f>
        <v>0</v>
      </c>
      <c r="V22">
        <f>J22*U4</f>
        <v>0</v>
      </c>
      <c r="W22">
        <f t="shared" si="0"/>
        <v>0</v>
      </c>
      <c r="X22">
        <f>W22</f>
        <v>0</v>
      </c>
      <c r="Y22">
        <f>1.1*X22</f>
        <v>0</v>
      </c>
    </row>
    <row r="23" spans="2:24" ht="12.75">
      <c r="B23" t="s">
        <v>13</v>
      </c>
      <c r="C23">
        <v>0</v>
      </c>
      <c r="D23">
        <f>C23/C25</f>
        <v>0</v>
      </c>
      <c r="E23">
        <v>0</v>
      </c>
      <c r="F23">
        <v>0</v>
      </c>
      <c r="H23">
        <v>1000</v>
      </c>
      <c r="I23">
        <f t="shared" si="3"/>
        <v>0</v>
      </c>
      <c r="J23">
        <f>I23/I24</f>
        <v>0</v>
      </c>
      <c r="V23">
        <f>J23*U4</f>
        <v>0</v>
      </c>
      <c r="W23">
        <f t="shared" si="0"/>
        <v>0</v>
      </c>
      <c r="X23">
        <f>W23</f>
        <v>0</v>
      </c>
    </row>
    <row r="24" spans="1:25" ht="12.75">
      <c r="A24" t="s">
        <v>102</v>
      </c>
      <c r="C24">
        <f>SUM(C4:C23)</f>
        <v>100</v>
      </c>
      <c r="D24">
        <f>SUM(D4:D23)</f>
        <v>100</v>
      </c>
      <c r="E24" s="4">
        <f>SUM(E4:E11)</f>
        <v>0</v>
      </c>
      <c r="F24">
        <f>SUM(F4:F23)</f>
        <v>100</v>
      </c>
      <c r="H24" s="4">
        <f>H4*J4+H5*J5+H6*J6+H7*J7+H8*J8+H9*J9+H610*J10+H611*J11+H12*J12+H13*J13+H14*J14+H615*J615+H16*J16+H17*J18+H19*J19+H20*J20+H21*J21+H22*J22+H23*J23</f>
        <v>62.580210125324946</v>
      </c>
      <c r="I24">
        <f>SUM(I4:I23)</f>
        <v>1.5416005158391979</v>
      </c>
      <c r="J24">
        <f>SUM(J4:J23)</f>
        <v>0.9999999999999999</v>
      </c>
      <c r="Q24">
        <f>SUM(Q4:Q23)</f>
        <v>0.7298987092000285</v>
      </c>
      <c r="R24">
        <f>SUM(R4:R23)</f>
        <v>1.1725292592421024</v>
      </c>
      <c r="V24">
        <f>SUM(V4:V23)</f>
        <v>0.9688857617455152</v>
      </c>
      <c r="W24">
        <f>SUM(W4:W23)</f>
        <v>0.9688857617455152</v>
      </c>
      <c r="X24">
        <f>SUM(X4:X23)</f>
        <v>1.479386663396178</v>
      </c>
      <c r="Y24">
        <f>SUM(Y4:Y23)</f>
        <v>1.0299103436232215</v>
      </c>
    </row>
    <row r="25" ht="12.75">
      <c r="C25">
        <f>C24/100</f>
        <v>1</v>
      </c>
    </row>
    <row r="26" spans="18:24" ht="12.75">
      <c r="R26">
        <f>Q24/R24</f>
        <v>0.6224993563672938</v>
      </c>
      <c r="X26">
        <f>Y24/X24</f>
        <v>0.6961738733394359</v>
      </c>
    </row>
    <row r="27" spans="1:16" ht="15.75">
      <c r="A27" s="2"/>
      <c r="P27" s="4"/>
    </row>
    <row r="28" spans="1:17" ht="12.75">
      <c r="A28" s="4"/>
      <c r="B28" s="4"/>
      <c r="P28" s="4"/>
      <c r="Q28" s="4"/>
    </row>
    <row r="30" spans="1:3" ht="12.75">
      <c r="A30" s="4" t="s">
        <v>258</v>
      </c>
      <c r="B30" s="4">
        <v>0</v>
      </c>
      <c r="C30" s="4">
        <f>1028-26*J4+189.5*J5-95.6*J6-996*J8-850*J10-598*J9-59760*J7+7034*J13-6366*J12+3608*(J11+J18+J19+J20+J17)</f>
        <v>753.7369293120884</v>
      </c>
    </row>
    <row r="31" spans="2:5" ht="12.75">
      <c r="B31" s="7" t="s">
        <v>293</v>
      </c>
      <c r="E31" t="s">
        <v>294</v>
      </c>
    </row>
    <row r="32" spans="2:5" ht="12.75">
      <c r="B32" s="21">
        <v>298</v>
      </c>
      <c r="E32" s="21">
        <v>298</v>
      </c>
    </row>
    <row r="33" spans="1:5" ht="15.75">
      <c r="A33" s="2"/>
      <c r="B33" s="21">
        <v>400</v>
      </c>
      <c r="E33" s="21">
        <v>400</v>
      </c>
    </row>
    <row r="34" spans="2:5" ht="15.75">
      <c r="B34" s="22">
        <v>500</v>
      </c>
      <c r="E34" s="22">
        <v>500</v>
      </c>
    </row>
    <row r="35" spans="1:5" ht="15.75">
      <c r="A35" s="2"/>
      <c r="B35" s="21">
        <v>600</v>
      </c>
      <c r="E35" s="21">
        <v>600</v>
      </c>
    </row>
    <row r="36" spans="2:5" ht="12.75">
      <c r="B36" s="21">
        <v>700</v>
      </c>
      <c r="E36" s="21">
        <v>700</v>
      </c>
    </row>
    <row r="37" spans="2:5" ht="12.75">
      <c r="B37" s="21">
        <v>900</v>
      </c>
      <c r="E37" s="21">
        <v>800</v>
      </c>
    </row>
    <row r="38" spans="1:5" ht="15.75">
      <c r="A38" s="23" t="s">
        <v>259</v>
      </c>
      <c r="B38" s="28">
        <f>IF(B30=0,C30,B30)</f>
        <v>753.7369293120884</v>
      </c>
      <c r="E38" s="21">
        <v>900</v>
      </c>
    </row>
    <row r="39" spans="2:5" ht="12.75">
      <c r="B39" s="21">
        <f>B38</f>
        <v>753.7369293120884</v>
      </c>
      <c r="E39" s="21">
        <v>1000</v>
      </c>
    </row>
    <row r="40" spans="1:5" ht="15.75">
      <c r="A40" s="8"/>
      <c r="B40" s="21">
        <v>1200</v>
      </c>
      <c r="E40" s="21">
        <v>1100</v>
      </c>
    </row>
    <row r="41" spans="2:5" ht="12.75">
      <c r="B41" s="21">
        <v>1300</v>
      </c>
      <c r="E41" s="21">
        <v>1200</v>
      </c>
    </row>
    <row r="42" spans="1:5" ht="15.75">
      <c r="A42" s="8"/>
      <c r="B42" s="21">
        <v>1400</v>
      </c>
      <c r="E42" s="21">
        <v>1300</v>
      </c>
    </row>
    <row r="43" spans="2:5" ht="12.75">
      <c r="B43" s="21">
        <v>1600</v>
      </c>
      <c r="E43" s="21">
        <v>1400</v>
      </c>
    </row>
    <row r="44" spans="1:5" ht="15.75">
      <c r="A44" s="23"/>
      <c r="B44" s="21">
        <v>1700</v>
      </c>
      <c r="E44" s="21">
        <v>1450</v>
      </c>
    </row>
    <row r="45" spans="1:5" ht="15.75">
      <c r="A45" s="23" t="s">
        <v>41</v>
      </c>
      <c r="B45" s="28">
        <v>1473</v>
      </c>
      <c r="E45" s="4">
        <f>B45</f>
        <v>1473</v>
      </c>
    </row>
    <row r="46" ht="12.75">
      <c r="A46" s="4" t="s">
        <v>260</v>
      </c>
    </row>
    <row r="47" spans="1:2" ht="12.75">
      <c r="A47" s="4" t="s">
        <v>41</v>
      </c>
      <c r="B47" s="7">
        <f>B45</f>
        <v>1473</v>
      </c>
    </row>
    <row r="48" ht="12.75">
      <c r="B48" s="7">
        <v>1573</v>
      </c>
    </row>
    <row r="49" ht="12.75">
      <c r="B49" s="7">
        <v>1673</v>
      </c>
    </row>
    <row r="50" ht="12.75">
      <c r="B50" s="7">
        <v>1773</v>
      </c>
    </row>
    <row r="51" ht="12.75">
      <c r="B51" s="7">
        <v>1873</v>
      </c>
    </row>
    <row r="52" ht="12.75">
      <c r="B52" s="7">
        <v>1973</v>
      </c>
    </row>
    <row r="53" ht="12.75">
      <c r="B53" s="7">
        <v>2023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MILLS</dc:creator>
  <cp:keywords/>
  <dc:description/>
  <cp:lastModifiedBy>Rodney Jones</cp:lastModifiedBy>
  <dcterms:created xsi:type="dcterms:W3CDTF">2008-08-06T20:37:03Z</dcterms:created>
  <dcterms:modified xsi:type="dcterms:W3CDTF">2011-03-07T13:29:02Z</dcterms:modified>
  <cp:category/>
  <cp:version/>
  <cp:contentType/>
  <cp:contentStatus/>
</cp:coreProperties>
</file>